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epartments/Membership/Will/Chapter Toolkit/"/>
    </mc:Choice>
  </mc:AlternateContent>
  <xr:revisionPtr revIDLastSave="0" documentId="13_ncr:1_{0D10B45B-DB64-D649-9322-14FF2769A620}" xr6:coauthVersionLast="45" xr6:coauthVersionMax="45" xr10:uidLastSave="{00000000-0000-0000-0000-000000000000}"/>
  <bookViews>
    <workbookView xWindow="0" yWindow="460" windowWidth="23040" windowHeight="11060" xr2:uid="{00000000-000D-0000-FFFF-FFFF00000000}"/>
  </bookViews>
  <sheets>
    <sheet name="Budget" sheetId="1" r:id="rId1"/>
    <sheet name="8-15" sheetId="3" state="hidden" r:id="rId2"/>
  </sheets>
  <definedNames>
    <definedName name="_xlnm.Print_Area" localSheetId="0">Budget!$A$1:$L$109</definedName>
    <definedName name="_xlnm.Print_Titles" localSheetId="0">Budget!$1:$8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" i="1" l="1"/>
  <c r="I43" i="1"/>
  <c r="I50" i="1"/>
  <c r="H43" i="1"/>
  <c r="H50" i="1"/>
  <c r="D43" i="1"/>
  <c r="D50" i="1"/>
  <c r="C43" i="1"/>
  <c r="C50" i="1"/>
  <c r="B43" i="1"/>
  <c r="B50" i="1"/>
  <c r="B67" i="1"/>
  <c r="C67" i="1"/>
  <c r="I67" i="1"/>
  <c r="I60" i="1"/>
  <c r="I102" i="1"/>
  <c r="I94" i="1"/>
  <c r="I89" i="1"/>
  <c r="I82" i="1"/>
  <c r="I75" i="1"/>
  <c r="I29" i="1"/>
  <c r="I21" i="1"/>
  <c r="I15" i="1"/>
  <c r="I35" i="1"/>
  <c r="D60" i="1"/>
  <c r="H102" i="1"/>
  <c r="H94" i="1"/>
  <c r="H75" i="1"/>
  <c r="H60" i="1"/>
  <c r="H29" i="1"/>
  <c r="H21" i="1"/>
  <c r="H15" i="1"/>
  <c r="G67" i="1"/>
  <c r="F67" i="1"/>
  <c r="E67" i="1"/>
  <c r="D67" i="1"/>
  <c r="G60" i="1"/>
  <c r="F60" i="1"/>
  <c r="E60" i="1"/>
  <c r="G50" i="1"/>
  <c r="F50" i="1"/>
  <c r="E50" i="1"/>
  <c r="D21" i="1"/>
  <c r="C60" i="1"/>
  <c r="B60" i="1"/>
  <c r="C102" i="1"/>
  <c r="C94" i="1"/>
  <c r="C89" i="1"/>
  <c r="C104" i="1"/>
  <c r="C75" i="1"/>
  <c r="C29" i="1"/>
  <c r="C21" i="1"/>
  <c r="C15" i="1"/>
  <c r="C35" i="1"/>
  <c r="B102" i="1"/>
  <c r="B94" i="1"/>
  <c r="B89" i="1"/>
  <c r="B82" i="1"/>
  <c r="B75" i="1"/>
  <c r="B29" i="1"/>
  <c r="B21" i="1"/>
  <c r="B15" i="1"/>
  <c r="D29" i="1"/>
  <c r="G102" i="1"/>
  <c r="F102" i="1"/>
  <c r="F82" i="1"/>
  <c r="F104" i="1"/>
  <c r="E102" i="1"/>
  <c r="D102" i="1"/>
  <c r="D75" i="1"/>
  <c r="G82" i="1"/>
  <c r="E82" i="1"/>
  <c r="E104" i="1"/>
  <c r="E106" i="1"/>
  <c r="E35" i="1"/>
  <c r="E108" i="1"/>
  <c r="D82" i="1"/>
  <c r="D89" i="1"/>
  <c r="D94" i="1"/>
  <c r="G35" i="1"/>
  <c r="F35" i="1"/>
  <c r="D15" i="1"/>
  <c r="M41" i="1"/>
  <c r="O41" i="1"/>
  <c r="M40" i="1"/>
  <c r="O40" i="1"/>
  <c r="C138" i="3"/>
  <c r="B138" i="3"/>
  <c r="D138" i="3"/>
  <c r="C137" i="3"/>
  <c r="C136" i="3"/>
  <c r="C139" i="3"/>
  <c r="B137" i="3"/>
  <c r="B136" i="3"/>
  <c r="D136" i="3"/>
  <c r="C133" i="3"/>
  <c r="B132" i="3"/>
  <c r="B133" i="3"/>
  <c r="B139" i="3"/>
  <c r="B141" i="3"/>
  <c r="C124" i="3"/>
  <c r="C125" i="3"/>
  <c r="B124" i="3"/>
  <c r="C121" i="3"/>
  <c r="B121" i="3"/>
  <c r="D121" i="3"/>
  <c r="C120" i="3"/>
  <c r="B120" i="3"/>
  <c r="D120" i="3"/>
  <c r="C119" i="3"/>
  <c r="C122" i="3"/>
  <c r="B119" i="3"/>
  <c r="F102" i="3"/>
  <c r="G101" i="3"/>
  <c r="C101" i="3"/>
  <c r="C100" i="3"/>
  <c r="C97" i="3"/>
  <c r="C98" i="3"/>
  <c r="C102" i="3"/>
  <c r="B97" i="3"/>
  <c r="B98" i="3"/>
  <c r="B99" i="3"/>
  <c r="B100" i="3"/>
  <c r="B102" i="3"/>
  <c r="D102" i="3"/>
  <c r="G99" i="3"/>
  <c r="F95" i="3"/>
  <c r="B93" i="3"/>
  <c r="B94" i="3"/>
  <c r="B95" i="3"/>
  <c r="G95" i="3"/>
  <c r="C94" i="3"/>
  <c r="C93" i="3"/>
  <c r="F91" i="3"/>
  <c r="C90" i="3"/>
  <c r="C87" i="3"/>
  <c r="C88" i="3"/>
  <c r="C89" i="3"/>
  <c r="C91" i="3"/>
  <c r="B90" i="3"/>
  <c r="G89" i="3"/>
  <c r="D89" i="3"/>
  <c r="G88" i="3"/>
  <c r="D88" i="3"/>
  <c r="B87" i="3"/>
  <c r="G87" i="3"/>
  <c r="F85" i="3"/>
  <c r="F104" i="3"/>
  <c r="G84" i="3"/>
  <c r="C84" i="3"/>
  <c r="D84" i="3"/>
  <c r="C83" i="3"/>
  <c r="B83" i="3"/>
  <c r="D83" i="3"/>
  <c r="G83" i="3"/>
  <c r="G82" i="3"/>
  <c r="C82" i="3"/>
  <c r="D82" i="3"/>
  <c r="C81" i="3"/>
  <c r="B81" i="3"/>
  <c r="G81" i="3"/>
  <c r="C80" i="3"/>
  <c r="C85" i="3"/>
  <c r="B80" i="3"/>
  <c r="F75" i="3"/>
  <c r="F76" i="3"/>
  <c r="B71" i="3"/>
  <c r="B72" i="3"/>
  <c r="B73" i="3"/>
  <c r="B74" i="3"/>
  <c r="B75" i="3"/>
  <c r="B76" i="3"/>
  <c r="G76" i="3"/>
  <c r="G74" i="3"/>
  <c r="C73" i="3"/>
  <c r="C71" i="3"/>
  <c r="C72" i="3"/>
  <c r="C75" i="3"/>
  <c r="D72" i="3"/>
  <c r="G71" i="3"/>
  <c r="F66" i="3"/>
  <c r="F67" i="3"/>
  <c r="C65" i="3"/>
  <c r="B65" i="3"/>
  <c r="C64" i="3"/>
  <c r="B64" i="3"/>
  <c r="C63" i="3"/>
  <c r="B63" i="3"/>
  <c r="G63" i="3"/>
  <c r="C62" i="3"/>
  <c r="B62" i="3"/>
  <c r="D62" i="3"/>
  <c r="C61" i="3"/>
  <c r="B61" i="3"/>
  <c r="G61" i="3"/>
  <c r="C60" i="3"/>
  <c r="B60" i="3"/>
  <c r="D60" i="3"/>
  <c r="F56" i="3"/>
  <c r="C55" i="3"/>
  <c r="B55" i="3"/>
  <c r="C54" i="3"/>
  <c r="B54" i="3"/>
  <c r="D54" i="3"/>
  <c r="G54" i="3"/>
  <c r="G53" i="3"/>
  <c r="C53" i="3"/>
  <c r="D53" i="3"/>
  <c r="G52" i="3"/>
  <c r="C52" i="3"/>
  <c r="C51" i="3"/>
  <c r="B51" i="3"/>
  <c r="G51" i="3"/>
  <c r="C47" i="3"/>
  <c r="B47" i="3"/>
  <c r="D47" i="3"/>
  <c r="C46" i="3"/>
  <c r="B46" i="3"/>
  <c r="C45" i="3"/>
  <c r="B45" i="3"/>
  <c r="D45" i="3"/>
  <c r="G45" i="3"/>
  <c r="F44" i="3"/>
  <c r="F48" i="3"/>
  <c r="B43" i="3"/>
  <c r="D43" i="3"/>
  <c r="G43" i="3"/>
  <c r="C42" i="3"/>
  <c r="B42" i="3"/>
  <c r="G42" i="3"/>
  <c r="C41" i="3"/>
  <c r="C44" i="3"/>
  <c r="C38" i="3"/>
  <c r="C39" i="3"/>
  <c r="C48" i="3"/>
  <c r="B41" i="3"/>
  <c r="D41" i="3"/>
  <c r="G41" i="3"/>
  <c r="B39" i="3"/>
  <c r="G39" i="3"/>
  <c r="D39" i="3"/>
  <c r="B38" i="3"/>
  <c r="G37" i="3"/>
  <c r="D37" i="3"/>
  <c r="C32" i="3"/>
  <c r="B32" i="3"/>
  <c r="G32" i="3"/>
  <c r="C30" i="3"/>
  <c r="B30" i="3"/>
  <c r="G30" i="3"/>
  <c r="F27" i="3"/>
  <c r="F28" i="3"/>
  <c r="F12" i="3"/>
  <c r="F18" i="3"/>
  <c r="F19" i="3"/>
  <c r="F33" i="3"/>
  <c r="C26" i="3"/>
  <c r="B26" i="3"/>
  <c r="D26" i="3"/>
  <c r="G26" i="3"/>
  <c r="B25" i="3"/>
  <c r="C24" i="3"/>
  <c r="B24" i="3"/>
  <c r="D24" i="3"/>
  <c r="C23" i="3"/>
  <c r="B23" i="3"/>
  <c r="G23" i="3"/>
  <c r="G17" i="3"/>
  <c r="C17" i="3"/>
  <c r="D17" i="3"/>
  <c r="C16" i="3"/>
  <c r="B16" i="3"/>
  <c r="C11" i="3"/>
  <c r="B11" i="3"/>
  <c r="D11" i="3"/>
  <c r="C10" i="3"/>
  <c r="B10" i="3"/>
  <c r="D10" i="3"/>
  <c r="G10" i="3"/>
  <c r="C9" i="3"/>
  <c r="C12" i="3"/>
  <c r="B9" i="3"/>
  <c r="B125" i="3"/>
  <c r="D125" i="3"/>
  <c r="G93" i="3"/>
  <c r="G47" i="3"/>
  <c r="G60" i="3"/>
  <c r="G55" i="3"/>
  <c r="D30" i="3"/>
  <c r="H89" i="1"/>
  <c r="C27" i="3"/>
  <c r="C28" i="3"/>
  <c r="B56" i="3"/>
  <c r="C56" i="3"/>
  <c r="D56" i="3"/>
  <c r="D63" i="3"/>
  <c r="D94" i="3"/>
  <c r="D81" i="3"/>
  <c r="D87" i="3"/>
  <c r="D74" i="3"/>
  <c r="D55" i="3"/>
  <c r="D137" i="3"/>
  <c r="H67" i="1"/>
  <c r="H82" i="1"/>
  <c r="D65" i="3"/>
  <c r="G65" i="3"/>
  <c r="D80" i="3"/>
  <c r="G38" i="3"/>
  <c r="D51" i="3"/>
  <c r="G90" i="3"/>
  <c r="B91" i="3"/>
  <c r="G11" i="3"/>
  <c r="G62" i="3"/>
  <c r="G24" i="3"/>
  <c r="G80" i="3"/>
  <c r="D16" i="3"/>
  <c r="I104" i="1"/>
  <c r="I106" i="1"/>
  <c r="D52" i="3"/>
  <c r="D101" i="3"/>
  <c r="G25" i="3"/>
  <c r="D25" i="3"/>
  <c r="D46" i="3"/>
  <c r="G46" i="3"/>
  <c r="C95" i="3"/>
  <c r="D93" i="3"/>
  <c r="D97" i="3"/>
  <c r="G97" i="3"/>
  <c r="G64" i="3"/>
  <c r="D64" i="3"/>
  <c r="D71" i="3"/>
  <c r="B12" i="3"/>
  <c r="G9" i="3"/>
  <c r="G94" i="3"/>
  <c r="G75" i="3"/>
  <c r="C66" i="3"/>
  <c r="C67" i="3"/>
  <c r="D99" i="3"/>
  <c r="D38" i="3"/>
  <c r="D61" i="3"/>
  <c r="G100" i="3"/>
  <c r="G72" i="3"/>
  <c r="G56" i="3"/>
  <c r="D9" i="3"/>
  <c r="G16" i="3"/>
  <c r="B18" i="3"/>
  <c r="G73" i="3"/>
  <c r="D73" i="3"/>
  <c r="G98" i="3"/>
  <c r="D98" i="3"/>
  <c r="D119" i="3"/>
  <c r="B122" i="3"/>
  <c r="G102" i="3"/>
  <c r="B19" i="3"/>
  <c r="G18" i="3"/>
  <c r="D95" i="3"/>
  <c r="D122" i="3"/>
  <c r="B127" i="3"/>
  <c r="G12" i="3"/>
  <c r="D12" i="3"/>
  <c r="G19" i="3"/>
  <c r="G104" i="1"/>
  <c r="G106" i="1"/>
  <c r="G108" i="1"/>
  <c r="B104" i="1"/>
  <c r="B106" i="1"/>
  <c r="D104" i="1"/>
  <c r="D106" i="1"/>
  <c r="H104" i="1"/>
  <c r="H106" i="1"/>
  <c r="C106" i="1"/>
  <c r="C108" i="1"/>
  <c r="F106" i="1"/>
  <c r="F108" i="1"/>
  <c r="H35" i="1"/>
  <c r="B35" i="1"/>
  <c r="D35" i="1"/>
  <c r="D91" i="3"/>
  <c r="C127" i="3"/>
  <c r="D127" i="3"/>
  <c r="D139" i="3"/>
  <c r="C141" i="3"/>
  <c r="C104" i="3"/>
  <c r="C76" i="3"/>
  <c r="C106" i="3"/>
  <c r="D141" i="3"/>
  <c r="D76" i="3"/>
  <c r="I108" i="1"/>
  <c r="F106" i="3"/>
  <c r="F108" i="3"/>
  <c r="D75" i="3"/>
  <c r="D100" i="3"/>
  <c r="C18" i="3"/>
  <c r="C19" i="3"/>
  <c r="D32" i="3"/>
  <c r="B85" i="3"/>
  <c r="D23" i="3"/>
  <c r="G91" i="3"/>
  <c r="D132" i="3"/>
  <c r="D133" i="3"/>
  <c r="B27" i="3"/>
  <c r="D124" i="3"/>
  <c r="B44" i="3"/>
  <c r="B66" i="3"/>
  <c r="D42" i="3"/>
  <c r="D90" i="3"/>
  <c r="D108" i="1"/>
  <c r="H108" i="1"/>
  <c r="B108" i="1"/>
  <c r="B67" i="3"/>
  <c r="D66" i="3"/>
  <c r="G66" i="3"/>
  <c r="D19" i="3"/>
  <c r="C33" i="3"/>
  <c r="C108" i="3"/>
  <c r="G85" i="3"/>
  <c r="B104" i="3"/>
  <c r="D85" i="3"/>
  <c r="D18" i="3"/>
  <c r="D44" i="3"/>
  <c r="B48" i="3"/>
  <c r="G44" i="3"/>
  <c r="D27" i="3"/>
  <c r="G27" i="3"/>
  <c r="B28" i="3"/>
  <c r="D28" i="3"/>
  <c r="B33" i="3"/>
  <c r="G28" i="3"/>
  <c r="D104" i="3"/>
  <c r="G104" i="3"/>
  <c r="B106" i="3"/>
  <c r="D48" i="3"/>
  <c r="G48" i="3"/>
  <c r="D67" i="3"/>
  <c r="G67" i="3"/>
  <c r="D106" i="3"/>
  <c r="G106" i="3"/>
  <c r="B108" i="3"/>
  <c r="D33" i="3"/>
  <c r="G33" i="3"/>
  <c r="D108" i="3"/>
  <c r="G1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cstevens</author>
  </authors>
  <commentList>
    <comment ref="J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cstevens:</t>
        </r>
        <r>
          <rPr>
            <sz val="9"/>
            <color indexed="81"/>
            <rFont val="Tahoma"/>
            <family val="2"/>
          </rPr>
          <t xml:space="preserve">
9/14 bonus was $250</t>
        </r>
      </text>
    </comment>
    <comment ref="J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cstevens:</t>
        </r>
        <r>
          <rPr>
            <sz val="9"/>
            <color indexed="81"/>
            <rFont val="Tahoma"/>
            <family val="2"/>
          </rPr>
          <t xml:space="preserve">
9/14 bonus was $250</t>
        </r>
      </text>
    </comment>
  </commentList>
</comments>
</file>

<file path=xl/sharedStrings.xml><?xml version="1.0" encoding="utf-8"?>
<sst xmlns="http://schemas.openxmlformats.org/spreadsheetml/2006/main" count="236" uniqueCount="145">
  <si>
    <t>Budget</t>
  </si>
  <si>
    <t>Income</t>
  </si>
  <si>
    <t xml:space="preserve">   Dues Revenue</t>
  </si>
  <si>
    <t xml:space="preserve">      Associate Dues</t>
  </si>
  <si>
    <t xml:space="preserve">      Corporate Dues</t>
  </si>
  <si>
    <t xml:space="preserve">      Deputy Dues</t>
  </si>
  <si>
    <t xml:space="preserve">   Total Dues Revenue</t>
  </si>
  <si>
    <t xml:space="preserve">   Educational Conf Rev</t>
  </si>
  <si>
    <t xml:space="preserve">      Risk Management Forum</t>
  </si>
  <si>
    <t xml:space="preserve">         Registration Fees</t>
  </si>
  <si>
    <t xml:space="preserve">         Sponsorships</t>
  </si>
  <si>
    <t xml:space="preserve">      Total Risk Management Forum</t>
  </si>
  <si>
    <t xml:space="preserve">   Total Educational Conf Rev</t>
  </si>
  <si>
    <t xml:space="preserve">   Event Income</t>
  </si>
  <si>
    <t xml:space="preserve">      Golf Tournament</t>
  </si>
  <si>
    <t xml:space="preserve">         Mulligans &amp; Strings</t>
  </si>
  <si>
    <t xml:space="preserve">         Special Events Sponsorship</t>
  </si>
  <si>
    <t xml:space="preserve">      Total Golf Tournament</t>
  </si>
  <si>
    <t xml:space="preserve">   Total Event Income</t>
  </si>
  <si>
    <t xml:space="preserve">   Interest Earned</t>
  </si>
  <si>
    <t xml:space="preserve">   Meeting Fees</t>
  </si>
  <si>
    <t>Total Income</t>
  </si>
  <si>
    <t>Expenses</t>
  </si>
  <si>
    <t xml:space="preserve">   Administrative Exp</t>
  </si>
  <si>
    <t xml:space="preserve">      Bank and Credit Card Charges</t>
  </si>
  <si>
    <t xml:space="preserve">      Gifts &amp; Prizes</t>
  </si>
  <si>
    <t xml:space="preserve">      Professional Services</t>
  </si>
  <si>
    <t xml:space="preserve">         Administrator Fees</t>
  </si>
  <si>
    <t xml:space="preserve">         Bookkeeper Fees</t>
  </si>
  <si>
    <t xml:space="preserve">         Other Professional Services</t>
  </si>
  <si>
    <t xml:space="preserve">      Total Professional Services</t>
  </si>
  <si>
    <t xml:space="preserve">      Registrations &amp; Licenses</t>
  </si>
  <si>
    <t xml:space="preserve">      Services</t>
  </si>
  <si>
    <t xml:space="preserve">      Supplies and Postage</t>
  </si>
  <si>
    <t xml:space="preserve">   Total Administrative Exp</t>
  </si>
  <si>
    <t xml:space="preserve">   Charitable Giving</t>
  </si>
  <si>
    <t xml:space="preserve">      Brothers Redevelopment Cont.</t>
  </si>
  <si>
    <t xml:space="preserve">      Member Scholarship</t>
  </si>
  <si>
    <t xml:space="preserve">      RMI Program Contribution</t>
  </si>
  <si>
    <t xml:space="preserve">      RMI Program Scholarships</t>
  </si>
  <si>
    <t xml:space="preserve">      Scholarships</t>
  </si>
  <si>
    <t xml:space="preserve">   Total Charitable Giving</t>
  </si>
  <si>
    <t xml:space="preserve">   Educational Conf Expense</t>
  </si>
  <si>
    <t xml:space="preserve">         Entertainment/Speaker Fee</t>
  </si>
  <si>
    <t xml:space="preserve">         Facility Fee - Food and AV</t>
  </si>
  <si>
    <t xml:space="preserve">         Facility Fee - Room</t>
  </si>
  <si>
    <t xml:space="preserve">         Gifts</t>
  </si>
  <si>
    <t xml:space="preserve">         Program/Signage</t>
  </si>
  <si>
    <t xml:space="preserve">         Travel and Lodging</t>
  </si>
  <si>
    <t xml:space="preserve">   Total Educational Conf Expense</t>
  </si>
  <si>
    <t xml:space="preserve">   Event Expense</t>
  </si>
  <si>
    <t xml:space="preserve">         Fee, Food and Beverage</t>
  </si>
  <si>
    <t xml:space="preserve">         Gifts and Prizes</t>
  </si>
  <si>
    <t xml:space="preserve">         Signage and Brochures</t>
  </si>
  <si>
    <t xml:space="preserve">         Supplies</t>
  </si>
  <si>
    <t xml:space="preserve">   Total Event Expense</t>
  </si>
  <si>
    <t xml:space="preserve">   Meeting Expense</t>
  </si>
  <si>
    <t xml:space="preserve">      Board Planning Meeting</t>
  </si>
  <si>
    <t xml:space="preserve">         Facility Fee - Food &amp; AV</t>
  </si>
  <si>
    <t xml:space="preserve">      Total Board Planning Meeting</t>
  </si>
  <si>
    <t xml:space="preserve">      Chapter Advocacy</t>
  </si>
  <si>
    <t xml:space="preserve">         Annual Conference Reception</t>
  </si>
  <si>
    <t xml:space="preserve">         Meals</t>
  </si>
  <si>
    <t xml:space="preserve">         Registration Fee</t>
  </si>
  <si>
    <t xml:space="preserve">      Total Chapter Advocacy</t>
  </si>
  <si>
    <t xml:space="preserve">      Chapter Committees</t>
  </si>
  <si>
    <t xml:space="preserve">         Food and Beverage</t>
  </si>
  <si>
    <t xml:space="preserve">      Total Chapter Committees</t>
  </si>
  <si>
    <t xml:space="preserve">      Monthly Meetings</t>
  </si>
  <si>
    <t xml:space="preserve">         Board Meeting</t>
  </si>
  <si>
    <t xml:space="preserve">         Holiday/Appreciation Party</t>
  </si>
  <si>
    <t xml:space="preserve">         RMI Student Sponsorships</t>
  </si>
  <si>
    <t xml:space="preserve">      Total Monthly Meetings</t>
  </si>
  <si>
    <t xml:space="preserve">   Total Meeting Expense</t>
  </si>
  <si>
    <t>Total Expenses</t>
  </si>
  <si>
    <t>Net Operating Income</t>
  </si>
  <si>
    <t>Profit/Loss Statement</t>
  </si>
  <si>
    <t>August 31, 2015</t>
  </si>
  <si>
    <t>Actual/Budget</t>
  </si>
  <si>
    <t>Variance</t>
  </si>
  <si>
    <t>Actual YTD</t>
  </si>
  <si>
    <t>Prior YTD</t>
  </si>
  <si>
    <t>Current/Prior</t>
  </si>
  <si>
    <t>8/31/15</t>
  </si>
  <si>
    <t>8/31/14</t>
  </si>
  <si>
    <t xml:space="preserve">      Bad Debt Expense</t>
  </si>
  <si>
    <t xml:space="preserve">                                            RIMS - Rocky Mountain Chapter</t>
  </si>
  <si>
    <t>Change</t>
  </si>
  <si>
    <t>ASSETS</t>
  </si>
  <si>
    <t xml:space="preserve">   Current Assets</t>
  </si>
  <si>
    <t xml:space="preserve">      Bank Accounts</t>
  </si>
  <si>
    <t xml:space="preserve">         Petty Cash</t>
  </si>
  <si>
    <t xml:space="preserve">         US Bank Checking</t>
  </si>
  <si>
    <t xml:space="preserve">         US Bank Money Mkt</t>
  </si>
  <si>
    <t xml:space="preserve">      Total Bank Accounts</t>
  </si>
  <si>
    <t xml:space="preserve">         Prepaid Expenses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</si>
  <si>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</si>
  <si>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</si>
  <si>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</si>
  <si>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</si>
  <si>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   Deferred Forum Revenue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</si>
  <si>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</si>
  <si>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</si>
  <si>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</si>
  <si>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</si>
  <si>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</si>
  <si>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</si>
  <si>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</si>
  <si>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RIMS Rocky Mountain Chapter</t>
  </si>
  <si>
    <t>Balance Sheet</t>
  </si>
  <si>
    <t>2015</t>
  </si>
  <si>
    <t xml:space="preserve">      Total Other Current Assets</t>
  </si>
  <si>
    <t>2014</t>
  </si>
  <si>
    <t>Bonus</t>
  </si>
  <si>
    <t>Current Wages</t>
  </si>
  <si>
    <t>New Wages</t>
  </si>
  <si>
    <t>Annualized Increase</t>
  </si>
  <si>
    <t>ProRata</t>
  </si>
  <si>
    <t xml:space="preserve">   Total Administrative Exp &amp; Prof Svcs</t>
  </si>
  <si>
    <t xml:space="preserve">         Dinner</t>
  </si>
  <si>
    <t xml:space="preserve">      UCD Monthly Meeting Sponsorship</t>
  </si>
  <si>
    <t xml:space="preserve">      NMSU RMI Program Scholarships</t>
  </si>
  <si>
    <t xml:space="preserve">      UCD RMI Program Scholarships</t>
  </si>
  <si>
    <t xml:space="preserve">         Facility Fee - Food &amp; Beverage</t>
  </si>
  <si>
    <t xml:space="preserve">      Supplies and Postage </t>
  </si>
  <si>
    <t>Actual</t>
  </si>
  <si>
    <t xml:space="preserve">         Speakers</t>
  </si>
  <si>
    <t>Next Year</t>
  </si>
  <si>
    <t xml:space="preserve">      Charitable Contributions</t>
  </si>
  <si>
    <t xml:space="preserve">      GIS</t>
  </si>
  <si>
    <t xml:space="preserve">      Gifts</t>
  </si>
  <si>
    <t>12/31/17</t>
  </si>
  <si>
    <t>12/31/15</t>
  </si>
  <si>
    <t>12/31/16</t>
  </si>
  <si>
    <t>8/31/17</t>
  </si>
  <si>
    <t>12/31/18</t>
  </si>
  <si>
    <t xml:space="preserve">      Historical Actuals</t>
  </si>
  <si>
    <t xml:space="preserve">               Current Year</t>
  </si>
  <si>
    <t xml:space="preserve">      Corporate Associate Dues - $500 (Chapter)</t>
  </si>
  <si>
    <t xml:space="preserve">      Associate Dues - $180 (Society)</t>
  </si>
  <si>
    <t xml:space="preserve">      Corporate Dues - $500 (Society)</t>
  </si>
  <si>
    <t xml:space="preserve">      Deputy Dues - $85 (Society)</t>
  </si>
  <si>
    <t xml:space="preserve">         Sponsorships ($22,980 def rev in 2017)</t>
  </si>
  <si>
    <t xml:space="preserve">RIMS - Chapter </t>
  </si>
  <si>
    <t xml:space="preserve">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</si>
</sst>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quotePrefix="1" applyFo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39" fontId="6" fillId="0" borderId="0" xfId="0" applyNumberFormat="1" applyFont="1" applyAlignment="1">
      <alignment wrapText="1"/>
    </xf>
    <xf numFmtId="39" fontId="6" fillId="0" borderId="0" xfId="0" applyNumberFormat="1" applyFont="1" applyAlignment="1">
      <alignment horizontal="right" wrapText="1"/>
    </xf>
    <xf numFmtId="41" fontId="6" fillId="0" borderId="0" xfId="0" applyNumberFormat="1" applyFont="1" applyAlignment="1">
      <alignment horizontal="right" wrapText="1"/>
    </xf>
    <xf numFmtId="41" fontId="7" fillId="0" borderId="2" xfId="0" applyNumberFormat="1" applyFont="1" applyBorder="1" applyAlignment="1">
      <alignment horizontal="right" wrapText="1"/>
    </xf>
    <xf numFmtId="41" fontId="6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  <xf numFmtId="41" fontId="7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41" fontId="8" fillId="0" borderId="2" xfId="0" applyNumberFormat="1" applyFont="1" applyBorder="1" applyAlignment="1">
      <alignment horizontal="right" wrapText="1"/>
    </xf>
    <xf numFmtId="41" fontId="8" fillId="0" borderId="0" xfId="0" applyNumberFormat="1" applyFont="1" applyBorder="1" applyAlignment="1">
      <alignment horizontal="right" wrapText="1"/>
    </xf>
    <xf numFmtId="0" fontId="7" fillId="0" borderId="0" xfId="0" quotePrefix="1" applyFont="1" applyAlignment="1">
      <alignment horizontal="center"/>
    </xf>
    <xf numFmtId="0" fontId="7" fillId="0" borderId="0" xfId="0" applyFont="1" applyBorder="1" applyAlignment="1">
      <alignment horizontal="left" wrapText="1"/>
    </xf>
    <xf numFmtId="0" fontId="0" fillId="0" borderId="0" xfId="0" applyBorder="1"/>
    <xf numFmtId="41" fontId="6" fillId="0" borderId="3" xfId="0" applyNumberFormat="1" applyFont="1" applyBorder="1" applyAlignment="1">
      <alignment horizontal="right" wrapText="1"/>
    </xf>
    <xf numFmtId="41" fontId="7" fillId="0" borderId="0" xfId="0" applyNumberFormat="1" applyFont="1" applyAlignment="1">
      <alignment horizontal="right" wrapText="1"/>
    </xf>
    <xf numFmtId="41" fontId="6" fillId="0" borderId="4" xfId="0" applyNumberFormat="1" applyFont="1" applyBorder="1" applyAlignment="1">
      <alignment horizontal="right" wrapText="1"/>
    </xf>
    <xf numFmtId="41" fontId="6" fillId="0" borderId="2" xfId="0" applyNumberFormat="1" applyFont="1" applyBorder="1" applyAlignment="1">
      <alignment horizontal="right" wrapText="1"/>
    </xf>
    <xf numFmtId="41" fontId="6" fillId="0" borderId="0" xfId="0" applyNumberFormat="1" applyFont="1" applyBorder="1" applyAlignment="1">
      <alignment horizontal="right" wrapText="1"/>
    </xf>
    <xf numFmtId="41" fontId="7" fillId="0" borderId="5" xfId="0" applyNumberFormat="1" applyFont="1" applyBorder="1" applyAlignment="1">
      <alignment horizontal="right" wrapText="1"/>
    </xf>
    <xf numFmtId="41" fontId="7" fillId="0" borderId="3" xfId="0" applyNumberFormat="1" applyFont="1" applyBorder="1" applyAlignment="1">
      <alignment horizontal="right" wrapText="1"/>
    </xf>
    <xf numFmtId="41" fontId="8" fillId="0" borderId="0" xfId="0" applyNumberFormat="1" applyFont="1" applyAlignment="1">
      <alignment horizontal="right" wrapText="1"/>
    </xf>
    <xf numFmtId="41" fontId="8" fillId="0" borderId="3" xfId="0" applyNumberFormat="1" applyFont="1" applyBorder="1" applyAlignment="1">
      <alignment horizontal="right" wrapText="1"/>
    </xf>
    <xf numFmtId="41" fontId="8" fillId="0" borderId="6" xfId="0" applyNumberFormat="1" applyFont="1" applyBorder="1" applyAlignment="1">
      <alignment horizontal="right" wrapText="1"/>
    </xf>
    <xf numFmtId="41" fontId="8" fillId="0" borderId="7" xfId="0" applyNumberFormat="1" applyFont="1" applyBorder="1" applyAlignment="1">
      <alignment horizontal="right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center" wrapText="1"/>
    </xf>
    <xf numFmtId="39" fontId="6" fillId="2" borderId="0" xfId="0" applyNumberFormat="1" applyFont="1" applyFill="1" applyAlignment="1">
      <alignment wrapText="1"/>
    </xf>
    <xf numFmtId="39" fontId="6" fillId="2" borderId="0" xfId="0" applyNumberFormat="1" applyFont="1" applyFill="1" applyAlignment="1">
      <alignment horizontal="right" wrapText="1"/>
    </xf>
    <xf numFmtId="41" fontId="6" fillId="2" borderId="0" xfId="0" applyNumberFormat="1" applyFont="1" applyFill="1" applyAlignment="1">
      <alignment horizontal="right" wrapText="1"/>
    </xf>
    <xf numFmtId="41" fontId="7" fillId="2" borderId="2" xfId="0" applyNumberFormat="1" applyFont="1" applyFill="1" applyBorder="1" applyAlignment="1">
      <alignment horizontal="right" wrapText="1"/>
    </xf>
    <xf numFmtId="41" fontId="7" fillId="2" borderId="0" xfId="0" applyNumberFormat="1" applyFont="1" applyFill="1" applyBorder="1" applyAlignment="1">
      <alignment horizontal="right" wrapText="1"/>
    </xf>
    <xf numFmtId="41" fontId="6" fillId="2" borderId="2" xfId="0" applyNumberFormat="1" applyFont="1" applyFill="1" applyBorder="1" applyAlignment="1">
      <alignment horizontal="right" wrapText="1"/>
    </xf>
    <xf numFmtId="41" fontId="8" fillId="2" borderId="2" xfId="0" applyNumberFormat="1" applyFont="1" applyFill="1" applyBorder="1" applyAlignment="1">
      <alignment horizontal="right" wrapText="1"/>
    </xf>
    <xf numFmtId="41" fontId="8" fillId="2" borderId="0" xfId="0" applyNumberFormat="1" applyFont="1" applyFill="1" applyBorder="1" applyAlignment="1">
      <alignment horizontal="right" wrapText="1"/>
    </xf>
    <xf numFmtId="41" fontId="6" fillId="2" borderId="0" xfId="0" applyNumberFormat="1" applyFont="1" applyFill="1" applyAlignment="1">
      <alignment wrapText="1"/>
    </xf>
    <xf numFmtId="41" fontId="8" fillId="2" borderId="6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0" fillId="0" borderId="0" xfId="0" applyFill="1"/>
    <xf numFmtId="41" fontId="7" fillId="2" borderId="0" xfId="0" applyNumberFormat="1" applyFont="1" applyFill="1" applyAlignment="1">
      <alignment horizontal="right" wrapText="1"/>
    </xf>
    <xf numFmtId="4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wrapText="1"/>
    </xf>
    <xf numFmtId="41" fontId="6" fillId="0" borderId="0" xfId="0" applyNumberFormat="1" applyFont="1"/>
    <xf numFmtId="0" fontId="7" fillId="0" borderId="1" xfId="0" quotePrefix="1" applyFont="1" applyBorder="1" applyAlignment="1">
      <alignment horizontal="center" wrapText="1"/>
    </xf>
    <xf numFmtId="41" fontId="8" fillId="0" borderId="8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41" fontId="7" fillId="3" borderId="2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Alignment="1">
      <alignment horizontal="left" wrapText="1"/>
    </xf>
    <xf numFmtId="41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1" fontId="3" fillId="0" borderId="0" xfId="0" applyNumberFormat="1" applyFont="1" applyAlignment="1"/>
    <xf numFmtId="41" fontId="7" fillId="0" borderId="0" xfId="0" applyNumberFormat="1" applyFont="1" applyBorder="1" applyAlignment="1">
      <alignment wrapText="1"/>
    </xf>
    <xf numFmtId="41" fontId="7" fillId="0" borderId="0" xfId="0" applyNumberFormat="1" applyFont="1" applyFill="1" applyBorder="1" applyAlignment="1">
      <alignment wrapText="1"/>
    </xf>
    <xf numFmtId="41" fontId="7" fillId="2" borderId="0" xfId="0" applyNumberFormat="1" applyFont="1" applyFill="1" applyBorder="1" applyAlignment="1">
      <alignment wrapText="1"/>
    </xf>
    <xf numFmtId="41" fontId="7" fillId="0" borderId="2" xfId="0" applyNumberFormat="1" applyFont="1" applyBorder="1" applyAlignment="1">
      <alignment wrapText="1"/>
    </xf>
    <xf numFmtId="41" fontId="7" fillId="0" borderId="2" xfId="0" applyNumberFormat="1" applyFont="1" applyFill="1" applyBorder="1" applyAlignment="1">
      <alignment wrapText="1"/>
    </xf>
    <xf numFmtId="41" fontId="7" fillId="2" borderId="2" xfId="0" applyNumberFormat="1" applyFont="1" applyFill="1" applyBorder="1" applyAlignment="1">
      <alignment wrapText="1"/>
    </xf>
    <xf numFmtId="41" fontId="7" fillId="0" borderId="5" xfId="0" applyNumberFormat="1" applyFont="1" applyBorder="1" applyAlignment="1">
      <alignment wrapText="1"/>
    </xf>
    <xf numFmtId="41" fontId="8" fillId="0" borderId="0" xfId="0" applyNumberFormat="1" applyFont="1" applyBorder="1" applyAlignment="1">
      <alignment wrapText="1"/>
    </xf>
    <xf numFmtId="41" fontId="8" fillId="0" borderId="0" xfId="0" applyNumberFormat="1" applyFont="1" applyFill="1" applyBorder="1" applyAlignment="1">
      <alignment wrapText="1"/>
    </xf>
    <xf numFmtId="41" fontId="8" fillId="2" borderId="0" xfId="0" applyNumberFormat="1" applyFont="1" applyFill="1" applyBorder="1" applyAlignment="1">
      <alignment wrapText="1"/>
    </xf>
    <xf numFmtId="41" fontId="3" fillId="0" borderId="0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41" fontId="7" fillId="0" borderId="3" xfId="0" applyNumberFormat="1" applyFont="1" applyBorder="1" applyAlignment="1">
      <alignment wrapText="1"/>
    </xf>
    <xf numFmtId="41" fontId="7" fillId="0" borderId="3" xfId="0" applyNumberFormat="1" applyFont="1" applyFill="1" applyBorder="1" applyAlignment="1">
      <alignment wrapText="1"/>
    </xf>
    <xf numFmtId="41" fontId="7" fillId="0" borderId="4" xfId="0" applyNumberFormat="1" applyFont="1" applyBorder="1" applyAlignment="1">
      <alignment wrapText="1"/>
    </xf>
    <xf numFmtId="41" fontId="7" fillId="2" borderId="4" xfId="0" applyNumberFormat="1" applyFont="1" applyFill="1" applyBorder="1" applyAlignment="1">
      <alignment wrapText="1"/>
    </xf>
    <xf numFmtId="41" fontId="7" fillId="2" borderId="3" xfId="0" applyNumberFormat="1" applyFont="1" applyFill="1" applyBorder="1" applyAlignment="1">
      <alignment wrapText="1"/>
    </xf>
    <xf numFmtId="41" fontId="7" fillId="2" borderId="5" xfId="0" applyNumberFormat="1" applyFont="1" applyFill="1" applyBorder="1" applyAlignment="1">
      <alignment wrapText="1"/>
    </xf>
    <xf numFmtId="41" fontId="7" fillId="0" borderId="4" xfId="0" applyNumberFormat="1" applyFont="1" applyFill="1" applyBorder="1" applyAlignment="1">
      <alignment wrapText="1"/>
    </xf>
    <xf numFmtId="0" fontId="7" fillId="0" borderId="0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Border="1"/>
    <xf numFmtId="0" fontId="7" fillId="2" borderId="0" xfId="0" applyFont="1" applyFill="1" applyBorder="1"/>
    <xf numFmtId="41" fontId="8" fillId="0" borderId="11" xfId="0" applyNumberFormat="1" applyFont="1" applyFill="1" applyBorder="1" applyAlignment="1">
      <alignment wrapText="1"/>
    </xf>
    <xf numFmtId="0" fontId="4" fillId="0" borderId="12" xfId="0" applyFont="1" applyBorder="1" applyAlignment="1">
      <alignment horizontal="left"/>
    </xf>
    <xf numFmtId="41" fontId="8" fillId="0" borderId="8" xfId="0" applyNumberFormat="1" applyFont="1" applyFill="1" applyBorder="1" applyAlignment="1">
      <alignment wrapText="1"/>
    </xf>
    <xf numFmtId="41" fontId="8" fillId="0" borderId="13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10" xfId="0" applyFont="1" applyBorder="1"/>
    <xf numFmtId="0" fontId="3" fillId="0" borderId="10" xfId="0" applyFont="1" applyFill="1" applyBorder="1"/>
    <xf numFmtId="0" fontId="3" fillId="0" borderId="9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14" xfId="0" applyFont="1" applyBorder="1"/>
    <xf numFmtId="0" fontId="7" fillId="0" borderId="14" xfId="0" quotePrefix="1" applyFont="1" applyBorder="1" applyAlignment="1">
      <alignment horizontal="center"/>
    </xf>
    <xf numFmtId="0" fontId="7" fillId="0" borderId="15" xfId="0" applyFont="1" applyFill="1" applyBorder="1" applyAlignment="1">
      <alignment horizontal="center" wrapText="1"/>
    </xf>
    <xf numFmtId="39" fontId="3" fillId="0" borderId="0" xfId="0" applyNumberFormat="1" applyFont="1" applyBorder="1" applyAlignment="1">
      <alignment wrapText="1"/>
    </xf>
    <xf numFmtId="39" fontId="3" fillId="2" borderId="0" xfId="0" applyNumberFormat="1" applyFont="1" applyFill="1" applyBorder="1" applyAlignment="1">
      <alignment wrapText="1"/>
    </xf>
    <xf numFmtId="39" fontId="3" fillId="0" borderId="0" xfId="0" applyNumberFormat="1" applyFont="1" applyBorder="1" applyAlignment="1">
      <alignment horizontal="right" wrapText="1"/>
    </xf>
    <xf numFmtId="39" fontId="3" fillId="2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 applyAlignment="1">
      <alignment wrapText="1"/>
    </xf>
    <xf numFmtId="41" fontId="3" fillId="2" borderId="0" xfId="0" applyNumberFormat="1" applyFont="1" applyFill="1" applyBorder="1" applyAlignment="1">
      <alignment wrapText="1"/>
    </xf>
    <xf numFmtId="41" fontId="3" fillId="0" borderId="14" xfId="0" applyNumberFormat="1" applyFont="1" applyBorder="1" applyAlignment="1">
      <alignment wrapText="1"/>
    </xf>
    <xf numFmtId="41" fontId="3" fillId="0" borderId="3" xfId="0" applyNumberFormat="1" applyFont="1" applyBorder="1" applyAlignment="1">
      <alignment wrapText="1"/>
    </xf>
    <xf numFmtId="41" fontId="7" fillId="0" borderId="16" xfId="0" applyNumberFormat="1" applyFont="1" applyBorder="1" applyAlignment="1">
      <alignment wrapText="1"/>
    </xf>
    <xf numFmtId="41" fontId="7" fillId="0" borderId="14" xfId="0" applyNumberFormat="1" applyFont="1" applyBorder="1" applyAlignment="1">
      <alignment wrapText="1"/>
    </xf>
    <xf numFmtId="41" fontId="7" fillId="0" borderId="17" xfId="0" applyNumberFormat="1" applyFont="1" applyBorder="1" applyAlignment="1">
      <alignment wrapText="1"/>
    </xf>
    <xf numFmtId="41" fontId="7" fillId="0" borderId="18" xfId="0" applyNumberFormat="1" applyFont="1" applyBorder="1" applyAlignment="1">
      <alignment wrapText="1"/>
    </xf>
    <xf numFmtId="41" fontId="3" fillId="0" borderId="17" xfId="0" applyNumberFormat="1" applyFont="1" applyBorder="1" applyAlignment="1">
      <alignment wrapText="1"/>
    </xf>
    <xf numFmtId="41" fontId="8" fillId="0" borderId="19" xfId="0" applyNumberFormat="1" applyFont="1" applyFill="1" applyBorder="1" applyAlignment="1">
      <alignment wrapText="1"/>
    </xf>
    <xf numFmtId="14" fontId="3" fillId="0" borderId="0" xfId="0" applyNumberFormat="1" applyFont="1"/>
    <xf numFmtId="43" fontId="3" fillId="0" borderId="0" xfId="1" applyFont="1"/>
    <xf numFmtId="10" fontId="3" fillId="0" borderId="0" xfId="3" applyNumberFormat="1" applyFont="1"/>
    <xf numFmtId="10" fontId="3" fillId="0" borderId="0" xfId="0" applyNumberFormat="1" applyFont="1"/>
    <xf numFmtId="164" fontId="3" fillId="0" borderId="0" xfId="0" applyNumberFormat="1" applyFont="1"/>
    <xf numFmtId="41" fontId="7" fillId="0" borderId="16" xfId="0" applyNumberFormat="1" applyFont="1" applyFill="1" applyBorder="1" applyAlignment="1">
      <alignment wrapText="1"/>
    </xf>
    <xf numFmtId="41" fontId="3" fillId="2" borderId="3" xfId="0" applyNumberFormat="1" applyFont="1" applyFill="1" applyBorder="1" applyAlignment="1">
      <alignment wrapText="1"/>
    </xf>
    <xf numFmtId="41" fontId="7" fillId="0" borderId="17" xfId="0" applyNumberFormat="1" applyFont="1" applyFill="1" applyBorder="1" applyAlignment="1">
      <alignment wrapText="1"/>
    </xf>
    <xf numFmtId="41" fontId="7" fillId="0" borderId="14" xfId="0" applyNumberFormat="1" applyFont="1" applyFill="1" applyBorder="1" applyAlignment="1">
      <alignment wrapText="1"/>
    </xf>
    <xf numFmtId="0" fontId="3" fillId="0" borderId="0" xfId="0" applyFont="1" applyAlignment="1">
      <alignment horizontal="right"/>
    </xf>
    <xf numFmtId="41" fontId="3" fillId="0" borderId="14" xfId="0" applyNumberFormat="1" applyFont="1" applyFill="1" applyBorder="1" applyAlignment="1">
      <alignment wrapText="1"/>
    </xf>
    <xf numFmtId="41" fontId="8" fillId="0" borderId="17" xfId="0" applyNumberFormat="1" applyFont="1" applyFill="1" applyBorder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Fill="1"/>
    <xf numFmtId="41" fontId="8" fillId="0" borderId="20" xfId="0" applyNumberFormat="1" applyFont="1" applyFill="1" applyBorder="1" applyAlignment="1">
      <alignment wrapText="1"/>
    </xf>
    <xf numFmtId="41" fontId="8" fillId="0" borderId="21" xfId="0" applyNumberFormat="1" applyFont="1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39" fontId="3" fillId="0" borderId="14" xfId="0" applyNumberFormat="1" applyFont="1" applyBorder="1" applyAlignment="1">
      <alignment wrapText="1"/>
    </xf>
    <xf numFmtId="41" fontId="7" fillId="0" borderId="23" xfId="0" applyNumberFormat="1" applyFont="1" applyBorder="1" applyAlignment="1">
      <alignment wrapText="1"/>
    </xf>
    <xf numFmtId="41" fontId="8" fillId="0" borderId="14" xfId="0" applyNumberFormat="1" applyFont="1" applyBorder="1" applyAlignment="1">
      <alignment wrapText="1"/>
    </xf>
    <xf numFmtId="41" fontId="8" fillId="0" borderId="14" xfId="0" applyNumberFormat="1" applyFont="1" applyFill="1" applyBorder="1" applyAlignment="1">
      <alignment wrapText="1"/>
    </xf>
    <xf numFmtId="0" fontId="2" fillId="0" borderId="22" xfId="0" applyFont="1" applyFill="1" applyBorder="1" applyAlignment="1">
      <alignment horizontal="center"/>
    </xf>
    <xf numFmtId="0" fontId="3" fillId="0" borderId="22" xfId="0" applyFont="1" applyBorder="1"/>
    <xf numFmtId="39" fontId="3" fillId="0" borderId="14" xfId="0" applyNumberFormat="1" applyFont="1" applyFill="1" applyBorder="1" applyAlignment="1">
      <alignment wrapText="1"/>
    </xf>
    <xf numFmtId="41" fontId="3" fillId="0" borderId="17" xfId="0" applyNumberFormat="1" applyFont="1" applyFill="1" applyBorder="1" applyAlignment="1">
      <alignment wrapText="1"/>
    </xf>
    <xf numFmtId="41" fontId="7" fillId="0" borderId="23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/>
    <xf numFmtId="41" fontId="3" fillId="0" borderId="25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</cellXfs>
  <cellStyles count="5">
    <cellStyle name="Currency" xfId="1" builtinId="4"/>
    <cellStyle name="Currency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zoomScaleNormal="100" workbookViewId="0">
      <pane xSplit="1" ySplit="8" topLeftCell="B37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baseColWidth="10" defaultColWidth="9.1640625" defaultRowHeight="13" x14ac:dyDescent="0.15"/>
  <cols>
    <col min="1" max="1" width="43.1640625" style="60" customWidth="1"/>
    <col min="2" max="3" width="12.6640625" style="60" customWidth="1"/>
    <col min="4" max="4" width="11.83203125" style="60" customWidth="1"/>
    <col min="5" max="5" width="14.5" style="60" hidden="1" customWidth="1"/>
    <col min="6" max="6" width="3.1640625" style="60" hidden="1" customWidth="1"/>
    <col min="7" max="7" width="12" style="60" hidden="1" customWidth="1"/>
    <col min="8" max="8" width="12" style="60" customWidth="1"/>
    <col min="9" max="9" width="12.6640625" style="60" bestFit="1" customWidth="1"/>
    <col min="10" max="12" width="9.1640625" style="60" hidden="1" customWidth="1"/>
    <col min="13" max="13" width="11.5" style="60" hidden="1" customWidth="1"/>
    <col min="14" max="15" width="9.1640625" style="60" hidden="1" customWidth="1"/>
    <col min="16" max="16" width="9.1640625" style="95"/>
    <col min="17" max="16384" width="9.1640625" style="60"/>
  </cols>
  <sheetData>
    <row r="1" spans="1:14" ht="19.5" customHeight="1" x14ac:dyDescent="0.2">
      <c r="A1" s="100"/>
      <c r="B1" s="3"/>
      <c r="C1" s="3" t="s">
        <v>143</v>
      </c>
      <c r="D1" s="132"/>
      <c r="E1" s="132"/>
      <c r="F1" s="46"/>
    </row>
    <row r="2" spans="1:14" ht="15" customHeight="1" x14ac:dyDescent="0.2">
      <c r="A2" s="100"/>
      <c r="B2" s="3"/>
      <c r="C2" s="3" t="s">
        <v>144</v>
      </c>
      <c r="D2" s="3"/>
      <c r="E2" s="96"/>
      <c r="F2" s="95"/>
    </row>
    <row r="3" spans="1:14" ht="16.5" customHeight="1" x14ac:dyDescent="0.2">
      <c r="A3" s="100"/>
      <c r="B3" s="52"/>
      <c r="C3" s="52"/>
      <c r="D3" s="52"/>
      <c r="E3" s="96"/>
      <c r="F3" s="95"/>
    </row>
    <row r="4" spans="1:14" ht="16.5" customHeight="1" thickBot="1" x14ac:dyDescent="0.25">
      <c r="A4" s="148"/>
      <c r="B4" s="52"/>
      <c r="C4" s="52"/>
      <c r="D4" s="52"/>
      <c r="F4" s="95"/>
    </row>
    <row r="5" spans="1:14" ht="16.5" customHeight="1" thickBot="1" x14ac:dyDescent="0.25">
      <c r="A5" s="3"/>
      <c r="B5" s="92" t="s">
        <v>136</v>
      </c>
      <c r="C5" s="87"/>
      <c r="D5" s="88" t="s">
        <v>137</v>
      </c>
      <c r="E5" s="97"/>
      <c r="F5" s="98"/>
      <c r="G5" s="97"/>
      <c r="H5" s="99"/>
      <c r="I5" s="149" t="s">
        <v>127</v>
      </c>
    </row>
    <row r="6" spans="1:14" ht="16.5" customHeight="1" x14ac:dyDescent="0.2">
      <c r="A6" s="2"/>
      <c r="B6" s="143"/>
      <c r="C6" s="137"/>
      <c r="D6" s="144"/>
      <c r="E6" s="100"/>
      <c r="F6" s="101"/>
      <c r="G6" s="100"/>
      <c r="H6" s="144"/>
      <c r="I6" s="102"/>
    </row>
    <row r="7" spans="1:14" ht="12.75" customHeight="1" x14ac:dyDescent="0.2">
      <c r="A7" s="2"/>
      <c r="B7" s="103" t="s">
        <v>132</v>
      </c>
      <c r="C7" s="103" t="s">
        <v>133</v>
      </c>
      <c r="D7" s="103" t="s">
        <v>134</v>
      </c>
      <c r="E7" s="89" t="s">
        <v>78</v>
      </c>
      <c r="F7" s="90"/>
      <c r="G7" s="86" t="s">
        <v>84</v>
      </c>
      <c r="H7" s="103" t="s">
        <v>131</v>
      </c>
      <c r="I7" s="103" t="s">
        <v>135</v>
      </c>
    </row>
    <row r="8" spans="1:14" ht="12.75" customHeight="1" x14ac:dyDescent="0.15">
      <c r="A8" s="65"/>
      <c r="B8" s="138" t="s">
        <v>125</v>
      </c>
      <c r="C8" s="138" t="s">
        <v>125</v>
      </c>
      <c r="D8" s="104" t="s">
        <v>125</v>
      </c>
      <c r="E8" s="8" t="s">
        <v>79</v>
      </c>
      <c r="F8" s="35"/>
      <c r="G8" s="8" t="s">
        <v>81</v>
      </c>
      <c r="H8" s="104" t="s">
        <v>0</v>
      </c>
      <c r="I8" s="104" t="s">
        <v>0</v>
      </c>
      <c r="J8" s="59"/>
      <c r="K8" s="59"/>
      <c r="L8" s="59"/>
      <c r="M8" s="59"/>
      <c r="N8" s="59"/>
    </row>
    <row r="9" spans="1:14" ht="12.75" customHeight="1" x14ac:dyDescent="0.15">
      <c r="A9" s="17" t="s">
        <v>1</v>
      </c>
      <c r="B9" s="139"/>
      <c r="C9" s="139"/>
      <c r="D9" s="139"/>
      <c r="E9" s="105"/>
      <c r="F9" s="106"/>
      <c r="G9" s="100"/>
      <c r="H9" s="145"/>
      <c r="I9" s="102"/>
    </row>
    <row r="10" spans="1:14" ht="12.75" customHeight="1" x14ac:dyDescent="0.15">
      <c r="A10" s="9" t="s">
        <v>2</v>
      </c>
      <c r="B10" s="139"/>
      <c r="C10" s="139"/>
      <c r="D10" s="139"/>
      <c r="E10" s="107"/>
      <c r="F10" s="108"/>
      <c r="G10" s="100"/>
      <c r="H10" s="145"/>
      <c r="I10" s="102"/>
    </row>
    <row r="11" spans="1:14" ht="12.75" customHeight="1" x14ac:dyDescent="0.15">
      <c r="A11" s="133" t="s">
        <v>139</v>
      </c>
      <c r="B11" s="111"/>
      <c r="C11" s="111"/>
      <c r="D11" s="111"/>
      <c r="E11" s="109"/>
      <c r="F11" s="110"/>
      <c r="G11" s="109"/>
      <c r="H11" s="129"/>
      <c r="I11" s="111">
        <v>0</v>
      </c>
    </row>
    <row r="12" spans="1:14" ht="12.75" customHeight="1" x14ac:dyDescent="0.15">
      <c r="A12" s="133" t="s">
        <v>138</v>
      </c>
      <c r="B12" s="111"/>
      <c r="C12" s="111"/>
      <c r="D12" s="111"/>
      <c r="E12" s="109"/>
      <c r="F12" s="110"/>
      <c r="G12" s="109"/>
      <c r="H12" s="129"/>
      <c r="I12" s="111">
        <v>0</v>
      </c>
    </row>
    <row r="13" spans="1:14" ht="12.75" customHeight="1" x14ac:dyDescent="0.15">
      <c r="A13" s="133" t="s">
        <v>140</v>
      </c>
      <c r="B13" s="111"/>
      <c r="C13" s="111"/>
      <c r="D13" s="111"/>
      <c r="E13" s="109"/>
      <c r="F13" s="110"/>
      <c r="G13" s="109"/>
      <c r="H13" s="129"/>
      <c r="I13" s="111">
        <v>0</v>
      </c>
    </row>
    <row r="14" spans="1:14" ht="12.75" customHeight="1" x14ac:dyDescent="0.15">
      <c r="A14" s="133" t="s">
        <v>141</v>
      </c>
      <c r="B14" s="117"/>
      <c r="C14" s="117"/>
      <c r="D14" s="117"/>
      <c r="E14" s="109"/>
      <c r="F14" s="110"/>
      <c r="G14" s="109"/>
      <c r="H14" s="146"/>
      <c r="I14" s="111">
        <v>0</v>
      </c>
    </row>
    <row r="15" spans="1:14" ht="12.75" customHeight="1" x14ac:dyDescent="0.15">
      <c r="A15" s="9" t="s">
        <v>6</v>
      </c>
      <c r="B15" s="115">
        <f>SUM(B11:B14)</f>
        <v>0</v>
      </c>
      <c r="C15" s="115">
        <f>SUM(C11:C14)</f>
        <v>0</v>
      </c>
      <c r="D15" s="115">
        <f>SUM(D11:D14)</f>
        <v>0</v>
      </c>
      <c r="E15" s="81">
        <v>6080</v>
      </c>
      <c r="F15" s="82"/>
      <c r="G15" s="81">
        <v>30545</v>
      </c>
      <c r="H15" s="126">
        <f>SUM(H11:H14)</f>
        <v>0</v>
      </c>
      <c r="I15" s="113">
        <f>SUM(I11:I14)</f>
        <v>0</v>
      </c>
    </row>
    <row r="16" spans="1:14" ht="12.75" customHeight="1" x14ac:dyDescent="0.15">
      <c r="A16" s="9"/>
      <c r="B16" s="114"/>
      <c r="C16" s="114"/>
      <c r="D16" s="114"/>
      <c r="E16" s="67"/>
      <c r="F16" s="69"/>
      <c r="G16" s="67"/>
      <c r="H16" s="127"/>
      <c r="I16" s="111"/>
    </row>
    <row r="17" spans="1:9" ht="12.75" customHeight="1" x14ac:dyDescent="0.15">
      <c r="A17" s="9" t="s">
        <v>7</v>
      </c>
      <c r="B17" s="111"/>
      <c r="C17" s="111"/>
      <c r="D17" s="111"/>
      <c r="E17" s="109"/>
      <c r="F17" s="110"/>
      <c r="G17" s="109"/>
      <c r="H17" s="129"/>
      <c r="I17" s="111"/>
    </row>
    <row r="18" spans="1:9" ht="12.75" customHeight="1" x14ac:dyDescent="0.15">
      <c r="A18" s="61" t="s">
        <v>8</v>
      </c>
      <c r="B18" s="111"/>
      <c r="C18" s="111"/>
      <c r="D18" s="111"/>
      <c r="E18" s="109"/>
      <c r="F18" s="110"/>
      <c r="G18" s="109"/>
      <c r="H18" s="129"/>
      <c r="I18" s="111"/>
    </row>
    <row r="19" spans="1:9" ht="12.75" customHeight="1" x14ac:dyDescent="0.15">
      <c r="A19" s="61" t="s">
        <v>9</v>
      </c>
      <c r="B19" s="111"/>
      <c r="C19" s="111"/>
      <c r="D19" s="111"/>
      <c r="E19" s="109"/>
      <c r="F19" s="110"/>
      <c r="G19" s="109"/>
      <c r="H19" s="129"/>
      <c r="I19" s="114">
        <v>0</v>
      </c>
    </row>
    <row r="20" spans="1:9" ht="12.75" customHeight="1" x14ac:dyDescent="0.15">
      <c r="A20" s="133" t="s">
        <v>142</v>
      </c>
      <c r="B20" s="129"/>
      <c r="C20" s="129"/>
      <c r="D20" s="129"/>
      <c r="E20" s="109"/>
      <c r="F20" s="110"/>
      <c r="G20" s="109"/>
      <c r="H20" s="129"/>
      <c r="I20" s="115">
        <v>0</v>
      </c>
    </row>
    <row r="21" spans="1:9" ht="12.75" customHeight="1" x14ac:dyDescent="0.15">
      <c r="A21" s="9" t="s">
        <v>12</v>
      </c>
      <c r="B21" s="140">
        <f>SUM(B19:B20)</f>
        <v>0</v>
      </c>
      <c r="C21" s="140">
        <f>SUM(C19:C20)</f>
        <v>0</v>
      </c>
      <c r="D21" s="140">
        <f>SUM(D19:D20)</f>
        <v>0</v>
      </c>
      <c r="E21" s="70">
        <v>-19940</v>
      </c>
      <c r="F21" s="72"/>
      <c r="G21" s="70">
        <v>17169</v>
      </c>
      <c r="H21" s="147">
        <f>SUM(H19:H20)</f>
        <v>0</v>
      </c>
      <c r="I21" s="113">
        <f>SUM(I19:I20)</f>
        <v>0</v>
      </c>
    </row>
    <row r="22" spans="1:9" ht="12.75" customHeight="1" x14ac:dyDescent="0.15">
      <c r="A22" s="9"/>
      <c r="B22" s="140"/>
      <c r="C22" s="140"/>
      <c r="D22" s="140"/>
      <c r="E22" s="70">
        <v>-19940</v>
      </c>
      <c r="F22" s="72"/>
      <c r="G22" s="70">
        <v>17169</v>
      </c>
      <c r="H22" s="147"/>
      <c r="I22" s="116"/>
    </row>
    <row r="23" spans="1:9" ht="12.75" customHeight="1" x14ac:dyDescent="0.15">
      <c r="A23" s="9" t="s">
        <v>13</v>
      </c>
      <c r="B23" s="111"/>
      <c r="C23" s="111"/>
      <c r="D23" s="111"/>
      <c r="E23" s="109"/>
      <c r="F23" s="110"/>
      <c r="G23" s="109"/>
      <c r="H23" s="129"/>
      <c r="I23" s="111"/>
    </row>
    <row r="24" spans="1:9" ht="12.75" customHeight="1" x14ac:dyDescent="0.15">
      <c r="A24" s="61" t="s">
        <v>14</v>
      </c>
      <c r="B24" s="111"/>
      <c r="C24" s="111"/>
      <c r="D24" s="111"/>
      <c r="E24" s="109"/>
      <c r="F24" s="110"/>
      <c r="G24" s="109"/>
      <c r="H24" s="129"/>
      <c r="I24" s="111"/>
    </row>
    <row r="25" spans="1:9" ht="12.75" customHeight="1" x14ac:dyDescent="0.15">
      <c r="A25" s="61" t="s">
        <v>15</v>
      </c>
      <c r="B25" s="111"/>
      <c r="C25" s="111"/>
      <c r="D25" s="111"/>
      <c r="E25" s="109"/>
      <c r="F25" s="110"/>
      <c r="G25" s="109"/>
      <c r="H25" s="129"/>
      <c r="I25" s="111">
        <v>0</v>
      </c>
    </row>
    <row r="26" spans="1:9" ht="12.75" customHeight="1" x14ac:dyDescent="0.15">
      <c r="A26" s="61" t="s">
        <v>9</v>
      </c>
      <c r="B26" s="111"/>
      <c r="C26" s="111"/>
      <c r="D26" s="111"/>
      <c r="E26" s="109"/>
      <c r="F26" s="110"/>
      <c r="G26" s="109"/>
      <c r="H26" s="129"/>
      <c r="I26" s="111">
        <v>0</v>
      </c>
    </row>
    <row r="27" spans="1:9" ht="12.75" customHeight="1" x14ac:dyDescent="0.15">
      <c r="A27" s="61" t="s">
        <v>16</v>
      </c>
      <c r="B27" s="111"/>
      <c r="C27" s="111"/>
      <c r="D27" s="111"/>
      <c r="E27" s="109"/>
      <c r="F27" s="110"/>
      <c r="G27" s="109"/>
      <c r="H27" s="129"/>
      <c r="I27" s="111">
        <v>0</v>
      </c>
    </row>
    <row r="28" spans="1:9" ht="12.75" customHeight="1" x14ac:dyDescent="0.15">
      <c r="A28" s="61" t="s">
        <v>10</v>
      </c>
      <c r="B28" s="111"/>
      <c r="C28" s="111"/>
      <c r="D28" s="111"/>
      <c r="E28" s="109"/>
      <c r="F28" s="110"/>
      <c r="G28" s="109"/>
      <c r="H28" s="129"/>
      <c r="I28" s="117">
        <v>0</v>
      </c>
    </row>
    <row r="29" spans="1:9" ht="12.75" customHeight="1" x14ac:dyDescent="0.15">
      <c r="A29" s="9" t="s">
        <v>18</v>
      </c>
      <c r="B29" s="140">
        <f>SUM(B25:B28)</f>
        <v>0</v>
      </c>
      <c r="C29" s="140">
        <f>SUM(C25:C28)</f>
        <v>0</v>
      </c>
      <c r="D29" s="140">
        <f>SUM(D25:D28)</f>
        <v>0</v>
      </c>
      <c r="E29" s="70">
        <v>10399</v>
      </c>
      <c r="F29" s="72"/>
      <c r="G29" s="70">
        <v>52025</v>
      </c>
      <c r="H29" s="147">
        <f>SUM(H25:H28)</f>
        <v>0</v>
      </c>
      <c r="I29" s="113">
        <f>SUM(I25:I28)</f>
        <v>0</v>
      </c>
    </row>
    <row r="30" spans="1:9" ht="12.75" customHeight="1" x14ac:dyDescent="0.15">
      <c r="A30" s="9"/>
      <c r="B30" s="140"/>
      <c r="C30" s="140"/>
      <c r="D30" s="140"/>
      <c r="E30" s="70">
        <v>10399</v>
      </c>
      <c r="F30" s="72"/>
      <c r="G30" s="70">
        <v>52025</v>
      </c>
      <c r="H30" s="147"/>
      <c r="I30" s="114"/>
    </row>
    <row r="31" spans="1:9" ht="12.75" customHeight="1" x14ac:dyDescent="0.15">
      <c r="A31" s="9" t="s">
        <v>19</v>
      </c>
      <c r="B31" s="114"/>
      <c r="C31" s="114"/>
      <c r="D31" s="114"/>
      <c r="E31" s="67"/>
      <c r="F31" s="69"/>
      <c r="G31" s="67"/>
      <c r="H31" s="127"/>
      <c r="I31" s="114">
        <v>0</v>
      </c>
    </row>
    <row r="32" spans="1:9" ht="12.75" customHeight="1" x14ac:dyDescent="0.15">
      <c r="A32" s="9"/>
      <c r="B32" s="114"/>
      <c r="C32" s="114"/>
      <c r="D32" s="114"/>
      <c r="E32" s="67"/>
      <c r="F32" s="69"/>
      <c r="G32" s="67"/>
      <c r="H32" s="127"/>
      <c r="I32" s="114"/>
    </row>
    <row r="33" spans="1:16" ht="12.75" customHeight="1" x14ac:dyDescent="0.15">
      <c r="A33" s="9" t="s">
        <v>20</v>
      </c>
      <c r="B33" s="115"/>
      <c r="C33" s="115"/>
      <c r="D33" s="115"/>
      <c r="E33" s="79"/>
      <c r="F33" s="83"/>
      <c r="G33" s="79"/>
      <c r="H33" s="126"/>
      <c r="I33" s="115">
        <v>0</v>
      </c>
    </row>
    <row r="34" spans="1:16" ht="12.75" customHeight="1" x14ac:dyDescent="0.15">
      <c r="A34" s="9"/>
      <c r="B34" s="114"/>
      <c r="C34" s="114"/>
      <c r="D34" s="114"/>
      <c r="E34" s="67"/>
      <c r="F34" s="69"/>
      <c r="G34" s="67"/>
      <c r="H34" s="127"/>
      <c r="I34" s="114"/>
    </row>
    <row r="35" spans="1:16" ht="15.75" customHeight="1" thickBot="1" x14ac:dyDescent="0.2">
      <c r="A35" s="17" t="s">
        <v>21</v>
      </c>
      <c r="B35" s="118">
        <f t="shared" ref="B35:H35" si="0">B33+B31+B29+B21+B15</f>
        <v>0</v>
      </c>
      <c r="C35" s="118">
        <f t="shared" si="0"/>
        <v>0</v>
      </c>
      <c r="D35" s="118">
        <f t="shared" si="0"/>
        <v>0</v>
      </c>
      <c r="E35" s="93">
        <f t="shared" si="0"/>
        <v>-3461</v>
      </c>
      <c r="F35" s="93">
        <f t="shared" si="0"/>
        <v>0</v>
      </c>
      <c r="G35" s="93">
        <f t="shared" si="0"/>
        <v>99739</v>
      </c>
      <c r="H35" s="118">
        <f t="shared" si="0"/>
        <v>0</v>
      </c>
      <c r="I35" s="118">
        <f>I33+I31+I29+I21+I15</f>
        <v>0</v>
      </c>
    </row>
    <row r="36" spans="1:16" ht="15.75" customHeight="1" x14ac:dyDescent="0.15">
      <c r="A36" s="17"/>
      <c r="B36" s="141"/>
      <c r="C36" s="141"/>
      <c r="D36" s="141"/>
      <c r="E36" s="74"/>
      <c r="F36" s="76"/>
      <c r="G36" s="74"/>
      <c r="H36" s="142"/>
      <c r="I36" s="111"/>
    </row>
    <row r="37" spans="1:16" ht="15" customHeight="1" x14ac:dyDescent="0.15">
      <c r="A37" s="17" t="s">
        <v>22</v>
      </c>
      <c r="B37" s="111"/>
      <c r="C37" s="111"/>
      <c r="D37" s="111"/>
      <c r="E37" s="109"/>
      <c r="F37" s="110"/>
      <c r="G37" s="109"/>
      <c r="H37" s="129"/>
      <c r="I37" s="111"/>
    </row>
    <row r="38" spans="1:16" ht="24.75" customHeight="1" x14ac:dyDescent="0.15">
      <c r="A38" s="9" t="s">
        <v>23</v>
      </c>
      <c r="B38" s="111"/>
      <c r="C38" s="111"/>
      <c r="D38" s="111"/>
      <c r="E38" s="109"/>
      <c r="F38" s="110"/>
      <c r="G38" s="109"/>
      <c r="H38" s="129"/>
      <c r="I38" s="111"/>
      <c r="J38" s="59" t="s">
        <v>113</v>
      </c>
      <c r="K38" s="59" t="s">
        <v>114</v>
      </c>
      <c r="L38" s="59" t="s">
        <v>115</v>
      </c>
      <c r="M38" s="62" t="s">
        <v>116</v>
      </c>
      <c r="N38" s="59" t="s">
        <v>117</v>
      </c>
    </row>
    <row r="39" spans="1:16" ht="12.75" customHeight="1" x14ac:dyDescent="0.15">
      <c r="A39" s="21" t="s">
        <v>26</v>
      </c>
      <c r="B39" s="150"/>
      <c r="C39" s="111"/>
      <c r="D39" s="111"/>
      <c r="E39" s="109"/>
      <c r="F39" s="110"/>
      <c r="G39" s="109"/>
      <c r="H39" s="129"/>
      <c r="I39" s="111"/>
      <c r="J39" s="119"/>
      <c r="K39" s="119">
        <v>42005</v>
      </c>
      <c r="L39" s="119">
        <v>42370</v>
      </c>
    </row>
    <row r="40" spans="1:16" ht="12.75" customHeight="1" x14ac:dyDescent="0.15">
      <c r="A40" s="61" t="s">
        <v>27</v>
      </c>
      <c r="B40" s="111"/>
      <c r="C40" s="111"/>
      <c r="D40" s="111"/>
      <c r="E40" s="109"/>
      <c r="F40" s="110"/>
      <c r="G40" s="109"/>
      <c r="H40" s="129"/>
      <c r="I40" s="111">
        <v>0</v>
      </c>
      <c r="J40" s="120">
        <v>500</v>
      </c>
      <c r="K40" s="120">
        <v>25</v>
      </c>
      <c r="L40" s="120">
        <v>27.5</v>
      </c>
      <c r="M40" s="121">
        <f>(L40-K40)/K40</f>
        <v>0.1</v>
      </c>
      <c r="N40" s="122">
        <v>0.75</v>
      </c>
      <c r="O40" s="123">
        <f>N40*M40</f>
        <v>7.5000000000000011E-2</v>
      </c>
    </row>
    <row r="41" spans="1:16" ht="12.75" customHeight="1" x14ac:dyDescent="0.15">
      <c r="A41" s="61" t="s">
        <v>28</v>
      </c>
      <c r="B41" s="111"/>
      <c r="C41" s="111"/>
      <c r="D41" s="111"/>
      <c r="E41" s="109"/>
      <c r="F41" s="110"/>
      <c r="G41" s="109"/>
      <c r="H41" s="129"/>
      <c r="I41" s="111">
        <v>0</v>
      </c>
      <c r="J41" s="120">
        <v>500</v>
      </c>
      <c r="K41" s="120">
        <v>40</v>
      </c>
      <c r="L41" s="120">
        <v>42.5</v>
      </c>
      <c r="M41" s="121">
        <f>(L41-K41)/K41</f>
        <v>6.25E-2</v>
      </c>
      <c r="N41" s="122">
        <v>0.75</v>
      </c>
      <c r="O41" s="123">
        <f>N41*M41</f>
        <v>4.6875E-2</v>
      </c>
    </row>
    <row r="42" spans="1:16" ht="14" x14ac:dyDescent="0.15">
      <c r="A42" s="61" t="s">
        <v>29</v>
      </c>
      <c r="B42" s="111"/>
      <c r="C42" s="111"/>
      <c r="D42" s="111"/>
      <c r="E42" s="109"/>
      <c r="F42" s="110"/>
      <c r="G42" s="109"/>
      <c r="H42" s="129"/>
      <c r="I42" s="111">
        <v>0</v>
      </c>
      <c r="L42" s="121"/>
    </row>
    <row r="43" spans="1:16" ht="12.75" customHeight="1" x14ac:dyDescent="0.15">
      <c r="A43" s="9" t="s">
        <v>30</v>
      </c>
      <c r="B43" s="116">
        <f>SUM(B40:B42)</f>
        <v>0</v>
      </c>
      <c r="C43" s="116">
        <f>SUM(C40:C42)</f>
        <v>0</v>
      </c>
      <c r="D43" s="116">
        <f>SUM(D40:D42)</f>
        <v>0</v>
      </c>
      <c r="E43" s="73">
        <v>685.07999999999993</v>
      </c>
      <c r="F43" s="84"/>
      <c r="G43" s="73">
        <v>10828</v>
      </c>
      <c r="H43" s="116">
        <f>SUM(H40:H42)</f>
        <v>0</v>
      </c>
      <c r="I43" s="116">
        <f>SUM(I40:I42)</f>
        <v>0</v>
      </c>
      <c r="P43" s="134"/>
    </row>
    <row r="44" spans="1:16" ht="12.75" customHeight="1" x14ac:dyDescent="0.15">
      <c r="A44" s="9"/>
      <c r="B44" s="114"/>
      <c r="C44" s="114"/>
      <c r="D44" s="114"/>
      <c r="E44" s="67"/>
      <c r="F44" s="69"/>
      <c r="G44" s="67"/>
      <c r="H44" s="127"/>
      <c r="I44" s="114"/>
    </row>
    <row r="45" spans="1:16" ht="12.75" customHeight="1" x14ac:dyDescent="0.15">
      <c r="A45" s="61" t="s">
        <v>24</v>
      </c>
      <c r="B45" s="111"/>
      <c r="C45" s="111"/>
      <c r="D45" s="111"/>
      <c r="E45" s="109"/>
      <c r="F45" s="110"/>
      <c r="G45" s="109"/>
      <c r="H45" s="129"/>
      <c r="I45" s="111">
        <v>0</v>
      </c>
    </row>
    <row r="46" spans="1:16" ht="12.75" customHeight="1" x14ac:dyDescent="0.15">
      <c r="A46" s="61" t="s">
        <v>130</v>
      </c>
      <c r="B46" s="111"/>
      <c r="C46" s="111"/>
      <c r="D46" s="111"/>
      <c r="E46" s="109"/>
      <c r="F46" s="110"/>
      <c r="G46" s="109"/>
      <c r="H46" s="129"/>
      <c r="I46" s="111">
        <v>0</v>
      </c>
    </row>
    <row r="47" spans="1:16" ht="12.75" customHeight="1" x14ac:dyDescent="0.15">
      <c r="A47" s="61" t="s">
        <v>31</v>
      </c>
      <c r="B47" s="111"/>
      <c r="C47" s="111"/>
      <c r="D47" s="111"/>
      <c r="E47" s="109"/>
      <c r="F47" s="110"/>
      <c r="G47" s="109"/>
      <c r="H47" s="129"/>
      <c r="I47" s="111">
        <v>0</v>
      </c>
    </row>
    <row r="48" spans="1:16" ht="12.75" customHeight="1" x14ac:dyDescent="0.15">
      <c r="A48" s="61" t="s">
        <v>32</v>
      </c>
      <c r="B48" s="111"/>
      <c r="C48" s="111"/>
      <c r="D48" s="111"/>
      <c r="E48" s="109"/>
      <c r="F48" s="110"/>
      <c r="G48" s="109"/>
      <c r="H48" s="129"/>
      <c r="I48" s="111">
        <v>0</v>
      </c>
    </row>
    <row r="49" spans="1:9" ht="12.75" customHeight="1" x14ac:dyDescent="0.15">
      <c r="A49" s="61" t="s">
        <v>124</v>
      </c>
      <c r="B49" s="111"/>
      <c r="C49" s="111"/>
      <c r="D49" s="111"/>
      <c r="E49" s="109"/>
      <c r="F49" s="110"/>
      <c r="G49" s="109"/>
      <c r="H49" s="129"/>
      <c r="I49" s="111">
        <v>0</v>
      </c>
    </row>
    <row r="50" spans="1:9" ht="12.75" customHeight="1" x14ac:dyDescent="0.15">
      <c r="A50" s="9" t="s">
        <v>118</v>
      </c>
      <c r="B50" s="124">
        <f>SUM(B43:B49)</f>
        <v>0</v>
      </c>
      <c r="C50" s="124">
        <f>SUM(C43:C49)</f>
        <v>0</v>
      </c>
      <c r="D50" s="124">
        <f>SUM(D43:D49)</f>
        <v>0</v>
      </c>
      <c r="E50" s="85">
        <f>E49+E48+E47+E43</f>
        <v>685.07999999999993</v>
      </c>
      <c r="F50" s="85">
        <f>F49+F48+F47+F43</f>
        <v>0</v>
      </c>
      <c r="G50" s="85">
        <f>G49+G48+G47+G43</f>
        <v>10828</v>
      </c>
      <c r="H50" s="124">
        <f>SUM(H43:H49)</f>
        <v>0</v>
      </c>
      <c r="I50" s="124">
        <f>SUM(I43:I49)</f>
        <v>0</v>
      </c>
    </row>
    <row r="51" spans="1:9" ht="12.75" customHeight="1" x14ac:dyDescent="0.15">
      <c r="A51" s="9"/>
      <c r="B51" s="114"/>
      <c r="C51" s="114"/>
      <c r="D51" s="114"/>
      <c r="E51" s="67"/>
      <c r="F51" s="69"/>
      <c r="G51" s="67"/>
      <c r="H51" s="127"/>
      <c r="I51" s="111"/>
    </row>
    <row r="52" spans="1:9" ht="12.75" customHeight="1" x14ac:dyDescent="0.15">
      <c r="A52" s="9" t="s">
        <v>35</v>
      </c>
      <c r="B52" s="111"/>
      <c r="C52" s="111"/>
      <c r="D52" s="111"/>
      <c r="E52" s="109"/>
      <c r="F52" s="110"/>
      <c r="G52" s="109"/>
      <c r="H52" s="129"/>
      <c r="I52" s="111"/>
    </row>
    <row r="53" spans="1:9" ht="12.75" customHeight="1" x14ac:dyDescent="0.15">
      <c r="A53" s="61" t="s">
        <v>36</v>
      </c>
      <c r="B53" s="111"/>
      <c r="C53" s="111"/>
      <c r="D53" s="111"/>
      <c r="E53" s="109"/>
      <c r="F53" s="110"/>
      <c r="G53" s="109"/>
      <c r="H53" s="129"/>
      <c r="I53" s="111">
        <v>0</v>
      </c>
    </row>
    <row r="54" spans="1:9" ht="12.75" customHeight="1" x14ac:dyDescent="0.15">
      <c r="A54" s="61" t="s">
        <v>128</v>
      </c>
      <c r="B54" s="111"/>
      <c r="C54" s="111"/>
      <c r="D54" s="111"/>
      <c r="E54" s="109"/>
      <c r="F54" s="110"/>
      <c r="G54" s="109"/>
      <c r="H54" s="129"/>
      <c r="I54" s="111">
        <v>0</v>
      </c>
    </row>
    <row r="55" spans="1:9" ht="12.75" customHeight="1" x14ac:dyDescent="0.15">
      <c r="A55" s="61" t="s">
        <v>129</v>
      </c>
      <c r="B55" s="111"/>
      <c r="C55" s="111"/>
      <c r="D55" s="111"/>
      <c r="E55" s="109"/>
      <c r="F55" s="110"/>
      <c r="G55" s="109"/>
      <c r="H55" s="129"/>
      <c r="I55" s="111">
        <v>0</v>
      </c>
    </row>
    <row r="56" spans="1:9" ht="12.75" customHeight="1" x14ac:dyDescent="0.15">
      <c r="A56" s="61" t="s">
        <v>37</v>
      </c>
      <c r="B56" s="111"/>
      <c r="C56" s="111"/>
      <c r="D56" s="111"/>
      <c r="E56" s="109"/>
      <c r="F56" s="110"/>
      <c r="G56" s="109"/>
      <c r="H56" s="129"/>
      <c r="I56" s="111">
        <v>0</v>
      </c>
    </row>
    <row r="57" spans="1:9" ht="12.75" customHeight="1" x14ac:dyDescent="0.15">
      <c r="A57" s="61" t="s">
        <v>121</v>
      </c>
      <c r="B57" s="111"/>
      <c r="C57" s="111"/>
      <c r="D57" s="111"/>
      <c r="E57" s="109"/>
      <c r="F57" s="110"/>
      <c r="G57" s="109"/>
      <c r="H57" s="129"/>
      <c r="I57" s="111">
        <v>0</v>
      </c>
    </row>
    <row r="58" spans="1:9" ht="12.75" customHeight="1" x14ac:dyDescent="0.15">
      <c r="A58" s="61" t="s">
        <v>120</v>
      </c>
      <c r="B58" s="111"/>
      <c r="C58" s="111"/>
      <c r="D58" s="111"/>
      <c r="E58" s="109"/>
      <c r="F58" s="110"/>
      <c r="G58" s="109"/>
      <c r="H58" s="129"/>
      <c r="I58" s="111">
        <v>0</v>
      </c>
    </row>
    <row r="59" spans="1:9" ht="12.75" customHeight="1" x14ac:dyDescent="0.15">
      <c r="A59" s="61" t="s">
        <v>122</v>
      </c>
      <c r="B59" s="111"/>
      <c r="C59" s="111"/>
      <c r="D59" s="117"/>
      <c r="E59" s="112"/>
      <c r="F59" s="125"/>
      <c r="G59" s="112"/>
      <c r="H59" s="146"/>
      <c r="I59" s="117">
        <v>0</v>
      </c>
    </row>
    <row r="60" spans="1:9" ht="12.75" customHeight="1" x14ac:dyDescent="0.15">
      <c r="A60" s="9" t="s">
        <v>41</v>
      </c>
      <c r="B60" s="113">
        <f t="shared" ref="B60:H60" si="1">SUM(B53:B59)</f>
        <v>0</v>
      </c>
      <c r="C60" s="113">
        <f t="shared" si="1"/>
        <v>0</v>
      </c>
      <c r="D60" s="126">
        <f t="shared" si="1"/>
        <v>0</v>
      </c>
      <c r="E60" s="80">
        <f t="shared" si="1"/>
        <v>0</v>
      </c>
      <c r="F60" s="80">
        <f t="shared" si="1"/>
        <v>0</v>
      </c>
      <c r="G60" s="80">
        <f t="shared" si="1"/>
        <v>0</v>
      </c>
      <c r="H60" s="126">
        <f t="shared" si="1"/>
        <v>0</v>
      </c>
      <c r="I60" s="126">
        <f>SUM(I53:I59)</f>
        <v>0</v>
      </c>
    </row>
    <row r="61" spans="1:9" ht="12.75" customHeight="1" x14ac:dyDescent="0.15">
      <c r="A61" s="9"/>
      <c r="B61" s="114"/>
      <c r="C61" s="114"/>
      <c r="D61" s="114"/>
      <c r="E61" s="67"/>
      <c r="F61" s="69"/>
      <c r="G61" s="67"/>
      <c r="H61" s="127"/>
      <c r="I61" s="111"/>
    </row>
    <row r="62" spans="1:9" ht="12.75" customHeight="1" x14ac:dyDescent="0.15">
      <c r="A62" s="9" t="s">
        <v>42</v>
      </c>
      <c r="B62" s="111"/>
      <c r="C62" s="111"/>
      <c r="D62" s="111"/>
      <c r="E62" s="109"/>
      <c r="F62" s="110"/>
      <c r="G62" s="109"/>
      <c r="H62" s="129"/>
      <c r="I62" s="111"/>
    </row>
    <row r="63" spans="1:9" ht="12.75" customHeight="1" x14ac:dyDescent="0.15">
      <c r="A63" s="61" t="s">
        <v>8</v>
      </c>
      <c r="B63" s="111"/>
      <c r="C63" s="111"/>
      <c r="D63" s="111"/>
      <c r="E63" s="109"/>
      <c r="F63" s="110"/>
      <c r="G63" s="109"/>
      <c r="H63" s="129"/>
      <c r="I63" s="111"/>
    </row>
    <row r="64" spans="1:9" ht="12.75" customHeight="1" x14ac:dyDescent="0.15">
      <c r="A64" s="61" t="s">
        <v>45</v>
      </c>
      <c r="B64" s="111"/>
      <c r="C64" s="111"/>
      <c r="D64" s="111"/>
      <c r="E64" s="109"/>
      <c r="F64" s="110"/>
      <c r="G64" s="109"/>
      <c r="H64" s="129"/>
      <c r="I64" s="129">
        <v>0</v>
      </c>
    </row>
    <row r="65" spans="1:9" ht="12.75" customHeight="1" x14ac:dyDescent="0.15">
      <c r="A65" s="61" t="s">
        <v>46</v>
      </c>
      <c r="B65" s="111"/>
      <c r="C65" s="111"/>
      <c r="D65" s="111"/>
      <c r="E65" s="109"/>
      <c r="F65" s="110"/>
      <c r="G65" s="109"/>
      <c r="H65" s="129"/>
      <c r="I65" s="111">
        <v>0</v>
      </c>
    </row>
    <row r="66" spans="1:9" ht="12.75" customHeight="1" x14ac:dyDescent="0.15">
      <c r="A66" s="61" t="s">
        <v>47</v>
      </c>
      <c r="B66" s="111"/>
      <c r="C66" s="111"/>
      <c r="D66" s="111"/>
      <c r="E66" s="109"/>
      <c r="F66" s="110"/>
      <c r="G66" s="109"/>
      <c r="H66" s="129"/>
      <c r="I66" s="111">
        <v>0</v>
      </c>
    </row>
    <row r="67" spans="1:9" ht="12.75" customHeight="1" x14ac:dyDescent="0.15">
      <c r="A67" s="9" t="s">
        <v>49</v>
      </c>
      <c r="B67" s="113">
        <f t="shared" ref="B67:I67" si="2">SUM(B64:B66)</f>
        <v>0</v>
      </c>
      <c r="C67" s="113">
        <f t="shared" si="2"/>
        <v>0</v>
      </c>
      <c r="D67" s="124">
        <f t="shared" si="2"/>
        <v>0</v>
      </c>
      <c r="E67" s="85">
        <f t="shared" si="2"/>
        <v>0</v>
      </c>
      <c r="F67" s="85">
        <f t="shared" si="2"/>
        <v>0</v>
      </c>
      <c r="G67" s="85">
        <f t="shared" si="2"/>
        <v>0</v>
      </c>
      <c r="H67" s="124">
        <f t="shared" si="2"/>
        <v>0</v>
      </c>
      <c r="I67" s="124">
        <f t="shared" si="2"/>
        <v>0</v>
      </c>
    </row>
    <row r="68" spans="1:9" ht="12.75" customHeight="1" x14ac:dyDescent="0.15">
      <c r="A68" s="9"/>
      <c r="B68" s="114"/>
      <c r="C68" s="114"/>
      <c r="D68" s="114"/>
      <c r="E68" s="67"/>
      <c r="F68" s="69"/>
      <c r="G68" s="67"/>
      <c r="H68" s="127"/>
      <c r="I68" s="111"/>
    </row>
    <row r="69" spans="1:9" ht="12.75" customHeight="1" x14ac:dyDescent="0.15">
      <c r="A69" s="9" t="s">
        <v>50</v>
      </c>
      <c r="B69" s="111"/>
      <c r="C69" s="111"/>
      <c r="D69" s="111"/>
      <c r="E69" s="109"/>
      <c r="F69" s="110"/>
      <c r="G69" s="109"/>
      <c r="H69" s="129"/>
      <c r="I69" s="111"/>
    </row>
    <row r="70" spans="1:9" ht="12.75" customHeight="1" x14ac:dyDescent="0.15">
      <c r="A70" s="61" t="s">
        <v>14</v>
      </c>
      <c r="B70" s="111"/>
      <c r="C70" s="111"/>
      <c r="D70" s="111"/>
      <c r="E70" s="109"/>
      <c r="F70" s="110"/>
      <c r="G70" s="109"/>
      <c r="H70" s="129"/>
      <c r="I70" s="111"/>
    </row>
    <row r="71" spans="1:9" ht="12.75" customHeight="1" x14ac:dyDescent="0.15">
      <c r="A71" s="61" t="s">
        <v>51</v>
      </c>
      <c r="B71" s="111"/>
      <c r="C71" s="111"/>
      <c r="D71" s="111"/>
      <c r="E71" s="109"/>
      <c r="F71" s="110"/>
      <c r="G71" s="109"/>
      <c r="H71" s="129"/>
      <c r="I71" s="111">
        <v>0</v>
      </c>
    </row>
    <row r="72" spans="1:9" ht="12.75" customHeight="1" x14ac:dyDescent="0.15">
      <c r="A72" s="61" t="s">
        <v>52</v>
      </c>
      <c r="B72" s="111"/>
      <c r="C72" s="111"/>
      <c r="D72" s="111"/>
      <c r="E72" s="109"/>
      <c r="F72" s="110"/>
      <c r="G72" s="109"/>
      <c r="H72" s="129"/>
      <c r="I72" s="111">
        <v>0</v>
      </c>
    </row>
    <row r="73" spans="1:9" ht="12.75" customHeight="1" x14ac:dyDescent="0.15">
      <c r="A73" s="61" t="s">
        <v>53</v>
      </c>
      <c r="B73" s="111"/>
      <c r="C73" s="111"/>
      <c r="D73" s="111"/>
      <c r="E73" s="109"/>
      <c r="F73" s="110"/>
      <c r="G73" s="109"/>
      <c r="H73" s="129"/>
      <c r="I73" s="111">
        <v>0</v>
      </c>
    </row>
    <row r="74" spans="1:9" ht="12.75" customHeight="1" x14ac:dyDescent="0.15">
      <c r="A74" s="61" t="s">
        <v>54</v>
      </c>
      <c r="B74" s="111"/>
      <c r="C74" s="111"/>
      <c r="D74" s="111"/>
      <c r="E74" s="109"/>
      <c r="F74" s="110"/>
      <c r="G74" s="109"/>
      <c r="H74" s="129"/>
      <c r="I74" s="111">
        <v>0</v>
      </c>
    </row>
    <row r="75" spans="1:9" ht="12.75" customHeight="1" x14ac:dyDescent="0.15">
      <c r="A75" s="9" t="s">
        <v>55</v>
      </c>
      <c r="B75" s="113">
        <f>SUM(B71:B74)</f>
        <v>0</v>
      </c>
      <c r="C75" s="113">
        <f>SUM(C71:C74)</f>
        <v>0</v>
      </c>
      <c r="D75" s="113">
        <f>SUM(D71:D74)</f>
        <v>0</v>
      </c>
      <c r="E75" s="81">
        <v>1286.7000000000007</v>
      </c>
      <c r="F75" s="82"/>
      <c r="G75" s="81">
        <v>30449</v>
      </c>
      <c r="H75" s="124">
        <f>SUM(H71:H74)</f>
        <v>0</v>
      </c>
      <c r="I75" s="113">
        <f>SUM(I71:I74)</f>
        <v>0</v>
      </c>
    </row>
    <row r="76" spans="1:9" ht="12.75" customHeight="1" x14ac:dyDescent="0.15">
      <c r="A76" s="9"/>
      <c r="B76" s="114"/>
      <c r="C76" s="114"/>
      <c r="D76" s="114"/>
      <c r="E76" s="67"/>
      <c r="F76" s="69"/>
      <c r="G76" s="67"/>
      <c r="H76" s="127"/>
      <c r="I76" s="111"/>
    </row>
    <row r="77" spans="1:9" ht="12.75" customHeight="1" x14ac:dyDescent="0.15">
      <c r="A77" s="9" t="s">
        <v>56</v>
      </c>
      <c r="B77" s="111"/>
      <c r="C77" s="111"/>
      <c r="D77" s="111"/>
      <c r="E77" s="109"/>
      <c r="F77" s="110"/>
      <c r="G77" s="109"/>
      <c r="H77" s="129"/>
      <c r="I77" s="111"/>
    </row>
    <row r="78" spans="1:9" ht="12.75" customHeight="1" x14ac:dyDescent="0.15">
      <c r="A78" s="9" t="s">
        <v>57</v>
      </c>
      <c r="B78" s="111"/>
      <c r="C78" s="111"/>
      <c r="D78" s="111"/>
      <c r="E78" s="109"/>
      <c r="F78" s="110"/>
      <c r="G78" s="109"/>
      <c r="H78" s="129"/>
      <c r="I78" s="111"/>
    </row>
    <row r="79" spans="1:9" ht="12.75" customHeight="1" x14ac:dyDescent="0.15">
      <c r="A79" s="61" t="s">
        <v>119</v>
      </c>
      <c r="B79" s="111"/>
      <c r="C79" s="111"/>
      <c r="D79" s="111"/>
      <c r="E79" s="109"/>
      <c r="F79" s="110"/>
      <c r="G79" s="109"/>
      <c r="H79" s="129"/>
      <c r="I79" s="111">
        <v>0</v>
      </c>
    </row>
    <row r="80" spans="1:9" ht="14" x14ac:dyDescent="0.15">
      <c r="A80" s="61" t="s">
        <v>123</v>
      </c>
      <c r="B80" s="111"/>
      <c r="C80" s="111"/>
      <c r="D80" s="111"/>
      <c r="E80" s="109"/>
      <c r="F80" s="110"/>
      <c r="G80" s="109"/>
      <c r="H80" s="129"/>
      <c r="I80" s="111">
        <v>0</v>
      </c>
    </row>
    <row r="81" spans="1:9" ht="14" x14ac:dyDescent="0.15">
      <c r="A81" s="61" t="s">
        <v>48</v>
      </c>
      <c r="B81" s="111"/>
      <c r="C81" s="111"/>
      <c r="D81" s="111"/>
      <c r="E81" s="109"/>
      <c r="F81" s="110"/>
      <c r="G81" s="109"/>
      <c r="H81" s="129"/>
      <c r="I81" s="111">
        <v>0</v>
      </c>
    </row>
    <row r="82" spans="1:9" ht="12.75" customHeight="1" x14ac:dyDescent="0.15">
      <c r="A82" s="9" t="s">
        <v>59</v>
      </c>
      <c r="B82" s="113">
        <f t="shared" ref="B82:I82" si="3">SUM(B79:B81)</f>
        <v>0</v>
      </c>
      <c r="C82" s="113">
        <f t="shared" si="3"/>
        <v>0</v>
      </c>
      <c r="D82" s="113">
        <f t="shared" si="3"/>
        <v>0</v>
      </c>
      <c r="E82" s="81">
        <f t="shared" si="3"/>
        <v>0</v>
      </c>
      <c r="F82" s="81">
        <f t="shared" si="3"/>
        <v>0</v>
      </c>
      <c r="G82" s="81">
        <f t="shared" si="3"/>
        <v>0</v>
      </c>
      <c r="H82" s="124">
        <f t="shared" si="3"/>
        <v>0</v>
      </c>
      <c r="I82" s="113">
        <f t="shared" si="3"/>
        <v>0</v>
      </c>
    </row>
    <row r="83" spans="1:9" ht="12.75" customHeight="1" x14ac:dyDescent="0.15">
      <c r="A83" s="9"/>
      <c r="B83" s="114"/>
      <c r="C83" s="114"/>
      <c r="D83" s="114"/>
      <c r="E83" s="67"/>
      <c r="F83" s="69"/>
      <c r="G83" s="67"/>
      <c r="H83" s="127"/>
      <c r="I83" s="114"/>
    </row>
    <row r="84" spans="1:9" ht="12.75" customHeight="1" x14ac:dyDescent="0.15">
      <c r="A84" s="9" t="s">
        <v>60</v>
      </c>
      <c r="B84" s="111"/>
      <c r="C84" s="111"/>
      <c r="D84" s="111"/>
      <c r="E84" s="109"/>
      <c r="F84" s="110"/>
      <c r="G84" s="109"/>
      <c r="H84" s="129"/>
      <c r="I84" s="111"/>
    </row>
    <row r="85" spans="1:9" ht="12.75" customHeight="1" x14ac:dyDescent="0.15">
      <c r="A85" s="61" t="s">
        <v>61</v>
      </c>
      <c r="B85" s="111"/>
      <c r="C85" s="111"/>
      <c r="D85" s="111"/>
      <c r="E85" s="109"/>
      <c r="F85" s="110"/>
      <c r="G85" s="109"/>
      <c r="H85" s="129"/>
      <c r="I85" s="111">
        <v>0</v>
      </c>
    </row>
    <row r="86" spans="1:9" ht="12.75" customHeight="1" x14ac:dyDescent="0.15">
      <c r="A86" s="61" t="s">
        <v>62</v>
      </c>
      <c r="B86" s="111"/>
      <c r="C86" s="111"/>
      <c r="D86" s="111"/>
      <c r="E86" s="109"/>
      <c r="F86" s="110"/>
      <c r="G86" s="109"/>
      <c r="H86" s="129"/>
      <c r="I86" s="111">
        <v>0</v>
      </c>
    </row>
    <row r="87" spans="1:9" ht="12.75" customHeight="1" x14ac:dyDescent="0.15">
      <c r="A87" s="61" t="s">
        <v>63</v>
      </c>
      <c r="B87" s="111"/>
      <c r="C87" s="111"/>
      <c r="D87" s="111"/>
      <c r="E87" s="109"/>
      <c r="F87" s="110"/>
      <c r="G87" s="109"/>
      <c r="H87" s="129"/>
      <c r="I87" s="111">
        <v>0</v>
      </c>
    </row>
    <row r="88" spans="1:9" ht="12.75" customHeight="1" x14ac:dyDescent="0.15">
      <c r="A88" s="61" t="s">
        <v>48</v>
      </c>
      <c r="B88" s="111"/>
      <c r="C88" s="111"/>
      <c r="D88" s="111"/>
      <c r="E88" s="109"/>
      <c r="F88" s="110"/>
      <c r="G88" s="109"/>
      <c r="H88" s="129"/>
      <c r="I88" s="111">
        <v>0</v>
      </c>
    </row>
    <row r="89" spans="1:9" ht="12.75" customHeight="1" x14ac:dyDescent="0.15">
      <c r="A89" s="9" t="s">
        <v>64</v>
      </c>
      <c r="B89" s="113">
        <f>SUM(B85:B88)</f>
        <v>0</v>
      </c>
      <c r="C89" s="113">
        <f>SUM(C85:C88)</f>
        <v>0</v>
      </c>
      <c r="D89" s="113">
        <f>SUM(D85:D88)</f>
        <v>0</v>
      </c>
      <c r="E89" s="81">
        <v>-1870.1599999999999</v>
      </c>
      <c r="F89" s="82"/>
      <c r="G89" s="81">
        <v>14133</v>
      </c>
      <c r="H89" s="124">
        <f>SUM(H85:H88)</f>
        <v>0</v>
      </c>
      <c r="I89" s="113">
        <f>SUM(I85:I88)</f>
        <v>0</v>
      </c>
    </row>
    <row r="90" spans="1:9" ht="12.75" customHeight="1" x14ac:dyDescent="0.15">
      <c r="A90" s="9"/>
      <c r="B90" s="114"/>
      <c r="C90" s="114"/>
      <c r="D90" s="114"/>
      <c r="E90" s="67"/>
      <c r="F90" s="69"/>
      <c r="G90" s="67"/>
      <c r="H90" s="127"/>
      <c r="I90" s="114"/>
    </row>
    <row r="91" spans="1:9" ht="12.75" customHeight="1" x14ac:dyDescent="0.15">
      <c r="A91" s="9" t="s">
        <v>65</v>
      </c>
      <c r="B91" s="111"/>
      <c r="C91" s="111"/>
      <c r="D91" s="111"/>
      <c r="E91" s="109"/>
      <c r="F91" s="110"/>
      <c r="G91" s="109"/>
      <c r="H91" s="129"/>
      <c r="I91" s="111"/>
    </row>
    <row r="92" spans="1:9" ht="12.75" customHeight="1" x14ac:dyDescent="0.15">
      <c r="A92" s="61" t="s">
        <v>66</v>
      </c>
      <c r="B92" s="111"/>
      <c r="C92" s="111"/>
      <c r="D92" s="111"/>
      <c r="E92" s="109"/>
      <c r="F92" s="110"/>
      <c r="G92" s="109"/>
      <c r="H92" s="129"/>
      <c r="I92" s="111">
        <v>0</v>
      </c>
    </row>
    <row r="93" spans="1:9" ht="12.75" customHeight="1" x14ac:dyDescent="0.15">
      <c r="A93" s="61" t="s">
        <v>54</v>
      </c>
      <c r="B93" s="111"/>
      <c r="C93" s="111"/>
      <c r="D93" s="111"/>
      <c r="E93" s="109"/>
      <c r="F93" s="110"/>
      <c r="G93" s="109"/>
      <c r="H93" s="129"/>
      <c r="I93" s="111">
        <v>0</v>
      </c>
    </row>
    <row r="94" spans="1:9" ht="12.75" customHeight="1" x14ac:dyDescent="0.15">
      <c r="A94" s="9" t="s">
        <v>67</v>
      </c>
      <c r="B94" s="113">
        <f>SUM(B92:B93)</f>
        <v>0</v>
      </c>
      <c r="C94" s="113">
        <f>SUM(C92:C93)</f>
        <v>0</v>
      </c>
      <c r="D94" s="113">
        <f>SUM(D92:D93)</f>
        <v>0</v>
      </c>
      <c r="E94" s="81">
        <v>-684.88</v>
      </c>
      <c r="F94" s="82"/>
      <c r="G94" s="81">
        <v>1545</v>
      </c>
      <c r="H94" s="124">
        <f>SUM(H92:H93)</f>
        <v>0</v>
      </c>
      <c r="I94" s="113">
        <f>SUM(I92:I93)</f>
        <v>0</v>
      </c>
    </row>
    <row r="95" spans="1:9" ht="12.75" customHeight="1" x14ac:dyDescent="0.15">
      <c r="A95" s="9"/>
      <c r="B95" s="114"/>
      <c r="C95" s="114"/>
      <c r="D95" s="114"/>
      <c r="E95" s="67"/>
      <c r="F95" s="69"/>
      <c r="G95" s="67"/>
      <c r="H95" s="127"/>
      <c r="I95" s="114"/>
    </row>
    <row r="96" spans="1:9" ht="12.75" customHeight="1" x14ac:dyDescent="0.15">
      <c r="A96" s="9" t="s">
        <v>68</v>
      </c>
      <c r="B96" s="111"/>
      <c r="C96" s="111"/>
      <c r="D96" s="111"/>
      <c r="E96" s="109"/>
      <c r="F96" s="110"/>
      <c r="G96" s="109"/>
      <c r="H96" s="129"/>
      <c r="I96" s="111"/>
    </row>
    <row r="97" spans="1:20" ht="12.75" customHeight="1" x14ac:dyDescent="0.15">
      <c r="A97" s="61" t="s">
        <v>69</v>
      </c>
      <c r="B97" s="111"/>
      <c r="C97" s="111"/>
      <c r="D97" s="111"/>
      <c r="E97" s="109"/>
      <c r="F97" s="110"/>
      <c r="G97" s="109"/>
      <c r="H97" s="129"/>
      <c r="I97" s="111">
        <v>0</v>
      </c>
    </row>
    <row r="98" spans="1:20" ht="14" x14ac:dyDescent="0.15">
      <c r="A98" s="61" t="s">
        <v>58</v>
      </c>
      <c r="B98" s="111"/>
      <c r="C98" s="111"/>
      <c r="D98" s="111"/>
      <c r="E98" s="109"/>
      <c r="F98" s="110"/>
      <c r="G98" s="109"/>
      <c r="H98" s="129"/>
      <c r="I98" s="111">
        <v>0</v>
      </c>
    </row>
    <row r="99" spans="1:20" ht="12.75" customHeight="1" x14ac:dyDescent="0.15">
      <c r="A99" s="61" t="s">
        <v>45</v>
      </c>
      <c r="B99" s="111"/>
      <c r="C99" s="111"/>
      <c r="D99" s="111"/>
      <c r="E99" s="109"/>
      <c r="F99" s="110"/>
      <c r="G99" s="109"/>
      <c r="H99" s="129"/>
      <c r="I99" s="111">
        <v>0</v>
      </c>
      <c r="T99" s="128"/>
    </row>
    <row r="100" spans="1:20" ht="12.75" customHeight="1" x14ac:dyDescent="0.15">
      <c r="A100" s="61" t="s">
        <v>126</v>
      </c>
      <c r="B100" s="111"/>
      <c r="C100" s="111"/>
      <c r="D100" s="111"/>
      <c r="E100" s="109"/>
      <c r="F100" s="110"/>
      <c r="G100" s="109"/>
      <c r="H100" s="129"/>
      <c r="I100" s="111">
        <v>0</v>
      </c>
    </row>
    <row r="101" spans="1:20" ht="12.75" customHeight="1" x14ac:dyDescent="0.15">
      <c r="A101" s="61" t="s">
        <v>70</v>
      </c>
      <c r="B101" s="111"/>
      <c r="C101" s="111"/>
      <c r="D101" s="111"/>
      <c r="E101" s="109"/>
      <c r="F101" s="110"/>
      <c r="G101" s="109"/>
      <c r="H101" s="129"/>
      <c r="I101" s="111">
        <v>0</v>
      </c>
    </row>
    <row r="102" spans="1:20" s="95" customFormat="1" ht="12.75" customHeight="1" x14ac:dyDescent="0.15">
      <c r="A102" s="63" t="s">
        <v>72</v>
      </c>
      <c r="B102" s="124">
        <f t="shared" ref="B102:I102" si="4">SUM(B97:B101)</f>
        <v>0</v>
      </c>
      <c r="C102" s="124">
        <f t="shared" si="4"/>
        <v>0</v>
      </c>
      <c r="D102" s="124">
        <f t="shared" si="4"/>
        <v>0</v>
      </c>
      <c r="E102" s="85">
        <f t="shared" si="4"/>
        <v>0</v>
      </c>
      <c r="F102" s="85">
        <f t="shared" si="4"/>
        <v>0</v>
      </c>
      <c r="G102" s="85">
        <f t="shared" si="4"/>
        <v>0</v>
      </c>
      <c r="H102" s="124">
        <f t="shared" si="4"/>
        <v>0</v>
      </c>
      <c r="I102" s="124">
        <f t="shared" si="4"/>
        <v>0</v>
      </c>
    </row>
    <row r="103" spans="1:20" s="100" customFormat="1" ht="12.75" customHeight="1" x14ac:dyDescent="0.15">
      <c r="A103" s="21"/>
      <c r="B103" s="129"/>
      <c r="C103" s="129"/>
      <c r="D103" s="129"/>
      <c r="E103" s="77"/>
      <c r="F103" s="77"/>
      <c r="G103" s="77"/>
      <c r="H103" s="129"/>
      <c r="I103" s="129"/>
      <c r="P103" s="101"/>
    </row>
    <row r="104" spans="1:20" ht="12.75" customHeight="1" x14ac:dyDescent="0.15">
      <c r="A104" s="9" t="s">
        <v>73</v>
      </c>
      <c r="B104" s="124">
        <f t="shared" ref="B104:I104" si="5">B102+B94+B89+B82</f>
        <v>0</v>
      </c>
      <c r="C104" s="124">
        <f t="shared" si="5"/>
        <v>0</v>
      </c>
      <c r="D104" s="124">
        <f t="shared" si="5"/>
        <v>0</v>
      </c>
      <c r="E104" s="68">
        <f t="shared" si="5"/>
        <v>-2555.04</v>
      </c>
      <c r="F104" s="68">
        <f t="shared" si="5"/>
        <v>0</v>
      </c>
      <c r="G104" s="68">
        <f t="shared" si="5"/>
        <v>15678</v>
      </c>
      <c r="H104" s="124">
        <f t="shared" si="5"/>
        <v>0</v>
      </c>
      <c r="I104" s="124">
        <f t="shared" si="5"/>
        <v>0</v>
      </c>
    </row>
    <row r="105" spans="1:20" ht="12.75" customHeight="1" x14ac:dyDescent="0.15">
      <c r="A105" s="9"/>
      <c r="B105" s="127"/>
      <c r="C105" s="127"/>
      <c r="D105" s="127"/>
      <c r="E105" s="71"/>
      <c r="F105" s="71"/>
      <c r="G105" s="71"/>
      <c r="H105" s="127"/>
      <c r="I105" s="127"/>
    </row>
    <row r="106" spans="1:20" ht="16.25" customHeight="1" thickBot="1" x14ac:dyDescent="0.2">
      <c r="A106" s="17" t="s">
        <v>74</v>
      </c>
      <c r="B106" s="135">
        <f t="shared" ref="B106:I106" si="6">B104+B75+B67+B60+B50</f>
        <v>0</v>
      </c>
      <c r="C106" s="135">
        <f t="shared" si="6"/>
        <v>0</v>
      </c>
      <c r="D106" s="135">
        <f t="shared" si="6"/>
        <v>0</v>
      </c>
      <c r="E106" s="94">
        <f t="shared" si="6"/>
        <v>-583.25999999999931</v>
      </c>
      <c r="F106" s="94">
        <f t="shared" si="6"/>
        <v>0</v>
      </c>
      <c r="G106" s="94">
        <f t="shared" si="6"/>
        <v>56955</v>
      </c>
      <c r="H106" s="135">
        <f t="shared" si="6"/>
        <v>0</v>
      </c>
      <c r="I106" s="135">
        <f t="shared" si="6"/>
        <v>0</v>
      </c>
    </row>
    <row r="107" spans="1:20" ht="14.25" customHeight="1" x14ac:dyDescent="0.15">
      <c r="A107" s="17"/>
      <c r="B107" s="142"/>
      <c r="C107" s="142"/>
      <c r="D107" s="142"/>
      <c r="E107" s="75"/>
      <c r="F107" s="75"/>
      <c r="G107" s="75"/>
      <c r="H107" s="142"/>
      <c r="I107" s="130"/>
    </row>
    <row r="108" spans="1:20" ht="16.5" customHeight="1" thickBot="1" x14ac:dyDescent="0.2">
      <c r="A108" s="17" t="s">
        <v>75</v>
      </c>
      <c r="B108" s="136">
        <f t="shared" ref="B108:I108" si="7">(B35)-(B106)</f>
        <v>0</v>
      </c>
      <c r="C108" s="136">
        <f t="shared" si="7"/>
        <v>0</v>
      </c>
      <c r="D108" s="136">
        <f t="shared" si="7"/>
        <v>0</v>
      </c>
      <c r="E108" s="91">
        <f t="shared" si="7"/>
        <v>-2877.7400000000007</v>
      </c>
      <c r="F108" s="91">
        <f t="shared" si="7"/>
        <v>0</v>
      </c>
      <c r="G108" s="91">
        <f t="shared" si="7"/>
        <v>42784</v>
      </c>
      <c r="H108" s="136">
        <f t="shared" si="7"/>
        <v>0</v>
      </c>
      <c r="I108" s="136">
        <f t="shared" si="7"/>
        <v>0</v>
      </c>
    </row>
    <row r="109" spans="1:20" ht="12.75" customHeight="1" x14ac:dyDescent="0.15">
      <c r="A109" s="9"/>
      <c r="B109" s="78"/>
      <c r="C109" s="78"/>
      <c r="D109" s="64"/>
      <c r="E109" s="64"/>
      <c r="F109" s="64"/>
      <c r="G109" s="66"/>
      <c r="H109" s="66"/>
      <c r="I109" s="131"/>
    </row>
    <row r="110" spans="1:20" x14ac:dyDescent="0.15">
      <c r="B110" s="131"/>
      <c r="C110" s="131"/>
      <c r="D110" s="131"/>
      <c r="E110" s="131"/>
      <c r="F110" s="131"/>
      <c r="G110" s="131"/>
      <c r="H110" s="131"/>
      <c r="I110" s="131"/>
    </row>
    <row r="111" spans="1:20" x14ac:dyDescent="0.15">
      <c r="B111" s="131"/>
      <c r="C111" s="131"/>
      <c r="D111" s="131"/>
      <c r="E111" s="131"/>
      <c r="F111" s="131"/>
      <c r="G111" s="131"/>
      <c r="H111" s="131"/>
      <c r="I111" s="131"/>
    </row>
  </sheetData>
  <printOptions gridLines="1"/>
  <pageMargins left="0.5" right="0.5" top="0.1" bottom="0.1" header="0.3" footer="0.3"/>
  <pageSetup paperSize="5" scale="92" fitToHeight="2" orientation="portrait" r:id="rId1"/>
  <headerFooter alignWithMargins="0"/>
  <rowBreaks count="1" manualBreakCount="1">
    <brk id="67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1"/>
  <sheetViews>
    <sheetView workbookViewId="0">
      <pane xSplit="1" ySplit="6" topLeftCell="B112" activePane="bottomRight" state="frozen"/>
      <selection pane="topRight" activeCell="B1" sqref="B1"/>
      <selection pane="bottomLeft" activeCell="A7" sqref="A7"/>
      <selection pane="bottomRight" activeCell="F126" sqref="F126"/>
    </sheetView>
  </sheetViews>
  <sheetFormatPr baseColWidth="10" defaultColWidth="8.83203125" defaultRowHeight="13" x14ac:dyDescent="0.15"/>
  <cols>
    <col min="1" max="1" width="36.5" customWidth="1"/>
    <col min="2" max="2" width="14.1640625" customWidth="1"/>
    <col min="3" max="3" width="12.6640625" customWidth="1"/>
    <col min="4" max="4" width="14.5" customWidth="1"/>
    <col min="5" max="5" width="3.1640625" customWidth="1"/>
    <col min="6" max="6" width="12" customWidth="1"/>
    <col min="7" max="7" width="16.33203125" customWidth="1"/>
  </cols>
  <sheetData>
    <row r="1" spans="1:7" ht="19.5" customHeight="1" x14ac:dyDescent="0.2">
      <c r="A1" s="151" t="s">
        <v>86</v>
      </c>
      <c r="B1" s="152"/>
      <c r="C1" s="152"/>
      <c r="D1" s="152"/>
      <c r="E1" s="46"/>
    </row>
    <row r="2" spans="1:7" ht="15" customHeight="1" x14ac:dyDescent="0.2">
      <c r="A2" s="2"/>
      <c r="B2" s="6" t="s">
        <v>76</v>
      </c>
      <c r="E2" s="47"/>
    </row>
    <row r="3" spans="1:7" ht="16.5" customHeight="1" x14ac:dyDescent="0.2">
      <c r="A3" s="2"/>
      <c r="B3" s="7" t="s">
        <v>77</v>
      </c>
      <c r="E3" s="47"/>
    </row>
    <row r="4" spans="1:7" ht="16.5" customHeight="1" x14ac:dyDescent="0.2">
      <c r="A4" s="2"/>
      <c r="B4" s="7"/>
      <c r="E4" s="47"/>
    </row>
    <row r="5" spans="1:7" ht="12.75" customHeight="1" x14ac:dyDescent="0.2">
      <c r="A5" s="2"/>
      <c r="B5" s="20" t="s">
        <v>83</v>
      </c>
      <c r="C5" s="5"/>
      <c r="D5" s="5" t="s">
        <v>78</v>
      </c>
      <c r="E5" s="34"/>
      <c r="F5" s="20" t="s">
        <v>84</v>
      </c>
      <c r="G5" s="5" t="s">
        <v>82</v>
      </c>
    </row>
    <row r="6" spans="1:7" ht="12.75" customHeight="1" x14ac:dyDescent="0.15">
      <c r="A6" s="1"/>
      <c r="B6" s="8" t="s">
        <v>80</v>
      </c>
      <c r="C6" s="8" t="s">
        <v>0</v>
      </c>
      <c r="D6" s="8" t="s">
        <v>79</v>
      </c>
      <c r="E6" s="35"/>
      <c r="F6" s="8" t="s">
        <v>81</v>
      </c>
      <c r="G6" s="8" t="s">
        <v>79</v>
      </c>
    </row>
    <row r="7" spans="1:7" ht="12.75" customHeight="1" x14ac:dyDescent="0.15">
      <c r="A7" s="17" t="s">
        <v>1</v>
      </c>
      <c r="B7" s="10"/>
      <c r="C7" s="10"/>
      <c r="D7" s="10"/>
      <c r="E7" s="36"/>
    </row>
    <row r="8" spans="1:7" ht="12.75" customHeight="1" x14ac:dyDescent="0.15">
      <c r="A8" s="9" t="s">
        <v>2</v>
      </c>
      <c r="B8" s="10"/>
      <c r="C8" s="10"/>
      <c r="D8" s="11"/>
      <c r="E8" s="37"/>
    </row>
    <row r="9" spans="1:7" ht="12.75" customHeight="1" x14ac:dyDescent="0.15">
      <c r="A9" s="15" t="s">
        <v>3</v>
      </c>
      <c r="B9" s="12">
        <f>8535</f>
        <v>8535</v>
      </c>
      <c r="C9" s="12">
        <f>5500</f>
        <v>5500</v>
      </c>
      <c r="D9" s="12">
        <f>(B9)-(C9)</f>
        <v>3035</v>
      </c>
      <c r="E9" s="38"/>
      <c r="F9" s="12">
        <v>7045</v>
      </c>
      <c r="G9" s="12">
        <f>(B9)-(F9)</f>
        <v>1490</v>
      </c>
    </row>
    <row r="10" spans="1:7" ht="12.75" customHeight="1" x14ac:dyDescent="0.15">
      <c r="A10" s="15" t="s">
        <v>4</v>
      </c>
      <c r="B10" s="12">
        <f>7000</f>
        <v>7000</v>
      </c>
      <c r="C10" s="12">
        <f>15000</f>
        <v>15000</v>
      </c>
      <c r="D10" s="12">
        <f>(B10)-(C10)</f>
        <v>-8000</v>
      </c>
      <c r="E10" s="38"/>
      <c r="F10" s="12">
        <v>8050</v>
      </c>
      <c r="G10" s="12">
        <f>(B10)-(F10)</f>
        <v>-1050</v>
      </c>
    </row>
    <row r="11" spans="1:7" ht="12.75" customHeight="1" x14ac:dyDescent="0.15">
      <c r="A11" s="15" t="s">
        <v>5</v>
      </c>
      <c r="B11" s="12">
        <f>18545</f>
        <v>18545</v>
      </c>
      <c r="C11" s="12">
        <f>7500</f>
        <v>7500</v>
      </c>
      <c r="D11" s="12">
        <f>(B11)-(C11)</f>
        <v>11045</v>
      </c>
      <c r="E11" s="38"/>
      <c r="F11" s="12">
        <v>15450</v>
      </c>
      <c r="G11" s="23">
        <f>(B11)-(F11)</f>
        <v>3095</v>
      </c>
    </row>
    <row r="12" spans="1:7" ht="12.75" customHeight="1" x14ac:dyDescent="0.15">
      <c r="A12" s="9" t="s">
        <v>6</v>
      </c>
      <c r="B12" s="13">
        <f>(((B8)+(B9))+(B10))+(B11)</f>
        <v>34080</v>
      </c>
      <c r="C12" s="13">
        <f>(((C8)+(C9))+(C10))+(C11)</f>
        <v>28000</v>
      </c>
      <c r="D12" s="13">
        <f>(B12)-(C12)</f>
        <v>6080</v>
      </c>
      <c r="E12" s="39"/>
      <c r="F12" s="13">
        <f>(((F8)+(F9))+(F10))+(F11)</f>
        <v>30545</v>
      </c>
      <c r="G12" s="24">
        <f>(B12)-(F12)</f>
        <v>3535</v>
      </c>
    </row>
    <row r="13" spans="1:7" ht="12.75" customHeight="1" x14ac:dyDescent="0.15">
      <c r="A13" s="9"/>
      <c r="B13" s="16"/>
      <c r="C13" s="16"/>
      <c r="D13" s="16"/>
      <c r="E13" s="40"/>
      <c r="F13" s="16"/>
      <c r="G13" s="12"/>
    </row>
    <row r="14" spans="1:7" ht="12.75" customHeight="1" x14ac:dyDescent="0.15">
      <c r="A14" s="9" t="s">
        <v>7</v>
      </c>
      <c r="B14" s="14"/>
      <c r="C14" s="12"/>
      <c r="D14" s="12"/>
      <c r="E14" s="38"/>
      <c r="F14" s="14"/>
      <c r="G14" s="12"/>
    </row>
    <row r="15" spans="1:7" ht="12.75" customHeight="1" x14ac:dyDescent="0.15">
      <c r="A15" s="15" t="s">
        <v>8</v>
      </c>
      <c r="B15" s="14"/>
      <c r="C15" s="14"/>
      <c r="D15" s="12"/>
      <c r="E15" s="38"/>
      <c r="F15" s="14"/>
      <c r="G15" s="12"/>
    </row>
    <row r="16" spans="1:7" ht="12.75" customHeight="1" x14ac:dyDescent="0.15">
      <c r="A16" s="15" t="s">
        <v>9</v>
      </c>
      <c r="B16" s="12">
        <f>3560</f>
        <v>3560</v>
      </c>
      <c r="C16" s="12">
        <f>3500</f>
        <v>3500</v>
      </c>
      <c r="D16" s="12">
        <f>(B16)-(C16)</f>
        <v>60</v>
      </c>
      <c r="E16" s="38"/>
      <c r="F16" s="12">
        <v>2309</v>
      </c>
      <c r="G16" s="12">
        <f>(B16)-(F16)</f>
        <v>1251</v>
      </c>
    </row>
    <row r="17" spans="1:7" ht="12.75" customHeight="1" x14ac:dyDescent="0.15">
      <c r="A17" s="15" t="s">
        <v>10</v>
      </c>
      <c r="B17" s="14">
        <v>0</v>
      </c>
      <c r="C17" s="12">
        <f>20000</f>
        <v>20000</v>
      </c>
      <c r="D17" s="12">
        <f>(B17)-(C17)</f>
        <v>-20000</v>
      </c>
      <c r="E17" s="38"/>
      <c r="F17" s="14">
        <v>14860</v>
      </c>
      <c r="G17" s="23">
        <f>(B17)-(F17)</f>
        <v>-14860</v>
      </c>
    </row>
    <row r="18" spans="1:7" ht="12.75" customHeight="1" x14ac:dyDescent="0.15">
      <c r="A18" s="15" t="s">
        <v>11</v>
      </c>
      <c r="B18" s="26">
        <f>((B15)+(B16))+(B17)</f>
        <v>3560</v>
      </c>
      <c r="C18" s="26">
        <f>((C15)+(C16))+(C17)</f>
        <v>23500</v>
      </c>
      <c r="D18" s="26">
        <f>(B18)-(C18)</f>
        <v>-19940</v>
      </c>
      <c r="E18" s="41"/>
      <c r="F18" s="26">
        <f>((F15)+(F16))+(F17)</f>
        <v>17169</v>
      </c>
      <c r="G18" s="25">
        <f>(B18)-(F18)</f>
        <v>-13609</v>
      </c>
    </row>
    <row r="19" spans="1:7" ht="12.75" customHeight="1" x14ac:dyDescent="0.15">
      <c r="A19" s="9" t="s">
        <v>12</v>
      </c>
      <c r="B19" s="13">
        <f>(B14)+(B18)</f>
        <v>3560</v>
      </c>
      <c r="C19" s="13">
        <f>(C14)+(C18)</f>
        <v>23500</v>
      </c>
      <c r="D19" s="13">
        <f>(B19)-(C19)</f>
        <v>-19940</v>
      </c>
      <c r="E19" s="39"/>
      <c r="F19" s="13">
        <f>(F14)+(F18)</f>
        <v>17169</v>
      </c>
      <c r="G19" s="28">
        <f>(B19)-(F19)</f>
        <v>-13609</v>
      </c>
    </row>
    <row r="20" spans="1:7" ht="12.75" customHeight="1" x14ac:dyDescent="0.15">
      <c r="A20" s="9"/>
      <c r="B20" s="16"/>
      <c r="C20" s="16"/>
      <c r="D20" s="16"/>
      <c r="E20" s="40"/>
      <c r="F20" s="16"/>
      <c r="G20" s="27"/>
    </row>
    <row r="21" spans="1:7" ht="12.75" customHeight="1" x14ac:dyDescent="0.15">
      <c r="A21" s="9" t="s">
        <v>13</v>
      </c>
      <c r="B21" s="14"/>
      <c r="C21" s="14"/>
      <c r="D21" s="12"/>
      <c r="E21" s="38"/>
      <c r="F21" s="14"/>
      <c r="G21" s="12"/>
    </row>
    <row r="22" spans="1:7" ht="12.75" customHeight="1" x14ac:dyDescent="0.15">
      <c r="A22" s="15" t="s">
        <v>14</v>
      </c>
      <c r="B22" s="14"/>
      <c r="C22" s="14"/>
      <c r="D22" s="12"/>
      <c r="E22" s="38"/>
      <c r="F22" s="14"/>
      <c r="G22" s="12"/>
    </row>
    <row r="23" spans="1:7" ht="12.75" customHeight="1" x14ac:dyDescent="0.15">
      <c r="A23" s="15" t="s">
        <v>15</v>
      </c>
      <c r="B23" s="12">
        <f>2164</f>
        <v>2164</v>
      </c>
      <c r="C23" s="12">
        <f>1500</f>
        <v>1500</v>
      </c>
      <c r="D23" s="12">
        <f t="shared" ref="D23:D28" si="0">(B23)-(C23)</f>
        <v>664</v>
      </c>
      <c r="E23" s="38"/>
      <c r="F23" s="12">
        <v>1260</v>
      </c>
      <c r="G23" s="12">
        <f t="shared" ref="G23:G28" si="1">(B23)-(F23)</f>
        <v>904</v>
      </c>
    </row>
    <row r="24" spans="1:7" ht="12.75" customHeight="1" x14ac:dyDescent="0.15">
      <c r="A24" s="15" t="s">
        <v>9</v>
      </c>
      <c r="B24" s="12">
        <f>20710</f>
        <v>20710</v>
      </c>
      <c r="C24" s="12">
        <f>18000</f>
        <v>18000</v>
      </c>
      <c r="D24" s="12">
        <f t="shared" si="0"/>
        <v>2710</v>
      </c>
      <c r="E24" s="38"/>
      <c r="F24" s="12">
        <v>18925</v>
      </c>
      <c r="G24" s="12">
        <f t="shared" si="1"/>
        <v>1785</v>
      </c>
    </row>
    <row r="25" spans="1:7" ht="12.75" customHeight="1" x14ac:dyDescent="0.15">
      <c r="A25" s="15" t="s">
        <v>16</v>
      </c>
      <c r="B25" s="12">
        <f>14275</f>
        <v>14275</v>
      </c>
      <c r="C25" s="14">
        <v>0</v>
      </c>
      <c r="D25" s="12">
        <f t="shared" si="0"/>
        <v>14275</v>
      </c>
      <c r="E25" s="38"/>
      <c r="F25" s="12">
        <v>0</v>
      </c>
      <c r="G25" s="12">
        <f t="shared" si="1"/>
        <v>14275</v>
      </c>
    </row>
    <row r="26" spans="1:7" ht="12.75" customHeight="1" x14ac:dyDescent="0.15">
      <c r="A26" s="15" t="s">
        <v>10</v>
      </c>
      <c r="B26" s="12">
        <f>22750</f>
        <v>22750</v>
      </c>
      <c r="C26" s="12">
        <f>30000</f>
        <v>30000</v>
      </c>
      <c r="D26" s="12">
        <f t="shared" si="0"/>
        <v>-7250</v>
      </c>
      <c r="E26" s="38"/>
      <c r="F26" s="12">
        <v>31840</v>
      </c>
      <c r="G26" s="23">
        <f t="shared" si="1"/>
        <v>-9090</v>
      </c>
    </row>
    <row r="27" spans="1:7" ht="12.75" customHeight="1" x14ac:dyDescent="0.15">
      <c r="A27" s="15" t="s">
        <v>17</v>
      </c>
      <c r="B27" s="26">
        <f>((((B22)+(B23))+(B24))+(B25))+(B26)</f>
        <v>59899</v>
      </c>
      <c r="C27" s="26">
        <f>((((C22)+(C23))+(C24))+(C25))+(C26)</f>
        <v>49500</v>
      </c>
      <c r="D27" s="26">
        <f t="shared" si="0"/>
        <v>10399</v>
      </c>
      <c r="E27" s="41"/>
      <c r="F27" s="26">
        <f>((((F22)+(F23))+(F24))+(F25))+(F26)</f>
        <v>52025</v>
      </c>
      <c r="G27" s="25">
        <f t="shared" si="1"/>
        <v>7874</v>
      </c>
    </row>
    <row r="28" spans="1:7" ht="12.75" customHeight="1" x14ac:dyDescent="0.15">
      <c r="A28" s="9" t="s">
        <v>18</v>
      </c>
      <c r="B28" s="13">
        <f>(B21)+(B27)</f>
        <v>59899</v>
      </c>
      <c r="C28" s="13">
        <f>(C21)+(C27)</f>
        <v>49500</v>
      </c>
      <c r="D28" s="13">
        <f t="shared" si="0"/>
        <v>10399</v>
      </c>
      <c r="E28" s="39"/>
      <c r="F28" s="13">
        <f>(F21)+(F27)</f>
        <v>52025</v>
      </c>
      <c r="G28" s="24">
        <f t="shared" si="1"/>
        <v>7874</v>
      </c>
    </row>
    <row r="29" spans="1:7" ht="12.75" customHeight="1" x14ac:dyDescent="0.15">
      <c r="A29" s="9"/>
      <c r="B29" s="16"/>
      <c r="C29" s="16"/>
      <c r="D29" s="16"/>
      <c r="E29" s="40"/>
      <c r="F29" s="16"/>
      <c r="G29" s="12"/>
    </row>
    <row r="30" spans="1:7" ht="12.75" customHeight="1" x14ac:dyDescent="0.15">
      <c r="A30" s="9" t="s">
        <v>19</v>
      </c>
      <c r="B30" s="24">
        <f>123.62</f>
        <v>123.62</v>
      </c>
      <c r="C30" s="24">
        <f>100</f>
        <v>100</v>
      </c>
      <c r="D30" s="24">
        <f>(B30)-(C30)</f>
        <v>23.620000000000005</v>
      </c>
      <c r="E30" s="48"/>
      <c r="F30" s="24">
        <v>93</v>
      </c>
      <c r="G30" s="24">
        <f>(B30)-(F30)</f>
        <v>30.620000000000005</v>
      </c>
    </row>
    <row r="31" spans="1:7" ht="12.75" customHeight="1" x14ac:dyDescent="0.15">
      <c r="A31" s="9"/>
      <c r="B31" s="12"/>
      <c r="C31" s="12"/>
      <c r="D31" s="12"/>
      <c r="E31" s="38"/>
      <c r="F31" s="12"/>
      <c r="G31" s="12"/>
    </row>
    <row r="32" spans="1:7" ht="12.75" customHeight="1" x14ac:dyDescent="0.15">
      <c r="A32" s="9" t="s">
        <v>20</v>
      </c>
      <c r="B32" s="24">
        <f>19369</f>
        <v>19369</v>
      </c>
      <c r="C32" s="24">
        <f>15000</f>
        <v>15000</v>
      </c>
      <c r="D32" s="24">
        <f>(B32)-(C32)</f>
        <v>4369</v>
      </c>
      <c r="E32" s="48"/>
      <c r="F32" s="24">
        <v>16446</v>
      </c>
      <c r="G32" s="29">
        <f>(B32)-(F32)</f>
        <v>2923</v>
      </c>
    </row>
    <row r="33" spans="1:7" ht="15.75" customHeight="1" x14ac:dyDescent="0.15">
      <c r="A33" s="17" t="s">
        <v>21</v>
      </c>
      <c r="B33" s="18">
        <f>((((B12)+(B19))+(B28))+(B30))+(B32)</f>
        <v>117031.62</v>
      </c>
      <c r="C33" s="18">
        <f>((((C12)+(C19))+(C28))+(C30))+(C32)</f>
        <v>116100</v>
      </c>
      <c r="D33" s="18">
        <f>(B33)-(C33)</f>
        <v>931.61999999999534</v>
      </c>
      <c r="E33" s="42"/>
      <c r="F33" s="18">
        <f>((((F12)+(F19))+(F28))+(F30))+(F32)</f>
        <v>116278</v>
      </c>
      <c r="G33" s="30">
        <f>(B33)-(F33)</f>
        <v>753.61999999999534</v>
      </c>
    </row>
    <row r="34" spans="1:7" ht="15.75" customHeight="1" x14ac:dyDescent="0.15">
      <c r="A34" s="17"/>
      <c r="B34" s="19"/>
      <c r="C34" s="19"/>
      <c r="D34" s="19"/>
      <c r="E34" s="43"/>
      <c r="F34" s="19"/>
      <c r="G34" s="12"/>
    </row>
    <row r="35" spans="1:7" ht="15" customHeight="1" x14ac:dyDescent="0.15">
      <c r="A35" s="17" t="s">
        <v>22</v>
      </c>
      <c r="B35" s="14"/>
      <c r="C35" s="14"/>
      <c r="D35" s="14"/>
      <c r="E35" s="44"/>
      <c r="F35" s="14"/>
      <c r="G35" s="12"/>
    </row>
    <row r="36" spans="1:7" ht="12.75" customHeight="1" x14ac:dyDescent="0.15">
      <c r="A36" s="9" t="s">
        <v>23</v>
      </c>
      <c r="B36" s="14"/>
      <c r="C36" s="14"/>
      <c r="D36" s="12"/>
      <c r="E36" s="38"/>
      <c r="F36" s="14"/>
      <c r="G36" s="12"/>
    </row>
    <row r="37" spans="1:7" ht="12.75" customHeight="1" x14ac:dyDescent="0.15">
      <c r="A37" s="15" t="s">
        <v>85</v>
      </c>
      <c r="B37" s="12">
        <v>0</v>
      </c>
      <c r="C37" s="12">
        <v>0</v>
      </c>
      <c r="D37" s="12">
        <f>(B37)-(C37)</f>
        <v>0</v>
      </c>
      <c r="E37" s="38"/>
      <c r="F37" s="12">
        <v>18983</v>
      </c>
      <c r="G37" s="12">
        <f>(B37)-(F37)</f>
        <v>-18983</v>
      </c>
    </row>
    <row r="38" spans="1:7" ht="12.75" customHeight="1" x14ac:dyDescent="0.15">
      <c r="A38" s="15" t="s">
        <v>24</v>
      </c>
      <c r="B38" s="12">
        <f>695.16</f>
        <v>695.16</v>
      </c>
      <c r="C38" s="12">
        <f>600</f>
        <v>600</v>
      </c>
      <c r="D38" s="12">
        <f t="shared" ref="D38:D101" si="2">(B38)-(C38)</f>
        <v>95.159999999999968</v>
      </c>
      <c r="E38" s="38"/>
      <c r="F38" s="12">
        <v>940</v>
      </c>
      <c r="G38" s="12">
        <f>(B38)-(F38)</f>
        <v>-244.84000000000003</v>
      </c>
    </row>
    <row r="39" spans="1:7" ht="12.75" customHeight="1" x14ac:dyDescent="0.15">
      <c r="A39" s="15" t="s">
        <v>25</v>
      </c>
      <c r="B39" s="12">
        <f>360.93</f>
        <v>360.93</v>
      </c>
      <c r="C39" s="12">
        <f>500</f>
        <v>500</v>
      </c>
      <c r="D39" s="12">
        <f t="shared" si="2"/>
        <v>-139.07</v>
      </c>
      <c r="E39" s="38"/>
      <c r="F39" s="12">
        <v>0</v>
      </c>
      <c r="G39" s="12">
        <f>(B39)-(F39)</f>
        <v>360.93</v>
      </c>
    </row>
    <row r="40" spans="1:7" ht="12.75" customHeight="1" x14ac:dyDescent="0.15">
      <c r="A40" s="15" t="s">
        <v>26</v>
      </c>
      <c r="B40" s="12"/>
      <c r="C40" s="12"/>
      <c r="D40" s="12"/>
      <c r="E40" s="38"/>
      <c r="F40" s="12"/>
      <c r="G40" s="12"/>
    </row>
    <row r="41" spans="1:7" ht="12.75" customHeight="1" x14ac:dyDescent="0.15">
      <c r="A41" s="15" t="s">
        <v>27</v>
      </c>
      <c r="B41" s="12">
        <f>6620.82</f>
        <v>6620.82</v>
      </c>
      <c r="C41" s="12">
        <f>6000</f>
        <v>6000</v>
      </c>
      <c r="D41" s="12">
        <f t="shared" si="2"/>
        <v>620.81999999999971</v>
      </c>
      <c r="E41" s="38"/>
      <c r="F41" s="12">
        <v>5529</v>
      </c>
      <c r="G41" s="12">
        <f t="shared" ref="G41:G48" si="3">(B41)-(F41)</f>
        <v>1091.8199999999997</v>
      </c>
    </row>
    <row r="42" spans="1:7" ht="12.75" customHeight="1" x14ac:dyDescent="0.15">
      <c r="A42" s="15" t="s">
        <v>28</v>
      </c>
      <c r="B42" s="12">
        <f>4590</f>
        <v>4590</v>
      </c>
      <c r="C42" s="12">
        <f>4950</f>
        <v>4950</v>
      </c>
      <c r="D42" s="12">
        <f t="shared" si="2"/>
        <v>-360</v>
      </c>
      <c r="E42" s="38"/>
      <c r="F42" s="12">
        <v>4523</v>
      </c>
      <c r="G42" s="12">
        <f t="shared" si="3"/>
        <v>67</v>
      </c>
    </row>
    <row r="43" spans="1:7" ht="12.75" customHeight="1" x14ac:dyDescent="0.15">
      <c r="A43" s="15" t="s">
        <v>29</v>
      </c>
      <c r="B43" s="12">
        <f>424.26</f>
        <v>424.26</v>
      </c>
      <c r="C43" s="12"/>
      <c r="D43" s="12">
        <f t="shared" si="2"/>
        <v>424.26</v>
      </c>
      <c r="E43" s="38"/>
      <c r="F43" s="12">
        <v>776</v>
      </c>
      <c r="G43" s="23">
        <f t="shared" si="3"/>
        <v>-351.74</v>
      </c>
    </row>
    <row r="44" spans="1:7" ht="12.75" customHeight="1" x14ac:dyDescent="0.15">
      <c r="A44" s="9" t="s">
        <v>30</v>
      </c>
      <c r="B44" s="13">
        <f>(((B40)+(B41))+(B42))+(B43)</f>
        <v>11635.08</v>
      </c>
      <c r="C44" s="13">
        <f>(((C40)+(C41))+(C42))+(C43)</f>
        <v>10950</v>
      </c>
      <c r="D44" s="13">
        <f t="shared" si="2"/>
        <v>685.07999999999993</v>
      </c>
      <c r="E44" s="39"/>
      <c r="F44" s="13">
        <f>SUM(F41:F43)</f>
        <v>10828</v>
      </c>
      <c r="G44" s="24">
        <f t="shared" si="3"/>
        <v>807.07999999999993</v>
      </c>
    </row>
    <row r="45" spans="1:7" ht="12.75" customHeight="1" x14ac:dyDescent="0.15">
      <c r="A45" s="15" t="s">
        <v>31</v>
      </c>
      <c r="B45" s="12">
        <f>10</f>
        <v>10</v>
      </c>
      <c r="C45" s="12">
        <f>50</f>
        <v>50</v>
      </c>
      <c r="D45" s="12">
        <f t="shared" si="2"/>
        <v>-40</v>
      </c>
      <c r="E45" s="38"/>
      <c r="F45" s="12">
        <v>860</v>
      </c>
      <c r="G45" s="12">
        <f t="shared" si="3"/>
        <v>-850</v>
      </c>
    </row>
    <row r="46" spans="1:7" ht="12.75" customHeight="1" x14ac:dyDescent="0.15">
      <c r="A46" s="15" t="s">
        <v>32</v>
      </c>
      <c r="B46" s="12">
        <f>663.15</f>
        <v>663.15</v>
      </c>
      <c r="C46" s="12">
        <f>200</f>
        <v>200</v>
      </c>
      <c r="D46" s="12">
        <f t="shared" si="2"/>
        <v>463.15</v>
      </c>
      <c r="E46" s="38"/>
      <c r="F46" s="12">
        <v>1382</v>
      </c>
      <c r="G46" s="12">
        <f t="shared" si="3"/>
        <v>-718.85</v>
      </c>
    </row>
    <row r="47" spans="1:7" ht="12.75" customHeight="1" x14ac:dyDescent="0.15">
      <c r="A47" s="15" t="s">
        <v>33</v>
      </c>
      <c r="B47" s="12">
        <f>681.29</f>
        <v>681.29</v>
      </c>
      <c r="C47" s="12">
        <f>500</f>
        <v>500</v>
      </c>
      <c r="D47" s="12">
        <f t="shared" si="2"/>
        <v>181.28999999999996</v>
      </c>
      <c r="E47" s="38"/>
      <c r="F47" s="12">
        <v>711</v>
      </c>
      <c r="G47" s="23">
        <f t="shared" si="3"/>
        <v>-29.710000000000036</v>
      </c>
    </row>
    <row r="48" spans="1:7" ht="12.75" customHeight="1" x14ac:dyDescent="0.15">
      <c r="A48" s="9" t="s">
        <v>34</v>
      </c>
      <c r="B48" s="13">
        <f>((((((B36)+(B38))+(B39))+(B44))+(B45))+(B46))+(B47)</f>
        <v>14045.61</v>
      </c>
      <c r="C48" s="13">
        <f>((((((C36)+(C38))+(C39))+(C44))+(C45))+(C46))+(C47)</f>
        <v>12800</v>
      </c>
      <c r="D48" s="13">
        <f t="shared" si="2"/>
        <v>1245.6100000000006</v>
      </c>
      <c r="E48" s="39"/>
      <c r="F48" s="13">
        <f>((((((F36)+(F38))+(F39))+(F44))+(F45))+(F46))+(F47)+F37</f>
        <v>33704</v>
      </c>
      <c r="G48" s="24">
        <f t="shared" si="3"/>
        <v>-19658.39</v>
      </c>
    </row>
    <row r="49" spans="1:7" ht="12.75" customHeight="1" x14ac:dyDescent="0.15">
      <c r="A49" s="9"/>
      <c r="B49" s="16"/>
      <c r="C49" s="16"/>
      <c r="D49" s="16"/>
      <c r="E49" s="40"/>
      <c r="F49" s="16"/>
      <c r="G49" s="12"/>
    </row>
    <row r="50" spans="1:7" ht="12.75" customHeight="1" x14ac:dyDescent="0.15">
      <c r="A50" s="9" t="s">
        <v>35</v>
      </c>
      <c r="B50" s="12"/>
      <c r="C50" s="12"/>
      <c r="D50" s="12"/>
      <c r="E50" s="38"/>
      <c r="F50" s="12"/>
      <c r="G50" s="12"/>
    </row>
    <row r="51" spans="1:7" ht="12.75" customHeight="1" x14ac:dyDescent="0.15">
      <c r="A51" s="15" t="s">
        <v>36</v>
      </c>
      <c r="B51" s="12">
        <f>2500</f>
        <v>2500</v>
      </c>
      <c r="C51" s="12">
        <f>2800</f>
        <v>2800</v>
      </c>
      <c r="D51" s="12">
        <f t="shared" si="2"/>
        <v>-300</v>
      </c>
      <c r="E51" s="38"/>
      <c r="F51" s="12">
        <v>0</v>
      </c>
      <c r="G51" s="12">
        <f t="shared" ref="G51:G56" si="4">(B51)-(F51)</f>
        <v>2500</v>
      </c>
    </row>
    <row r="52" spans="1:7" ht="12.75" customHeight="1" x14ac:dyDescent="0.15">
      <c r="A52" s="15" t="s">
        <v>37</v>
      </c>
      <c r="B52" s="12">
        <v>0</v>
      </c>
      <c r="C52" s="12">
        <f>1000</f>
        <v>1000</v>
      </c>
      <c r="D52" s="12">
        <f t="shared" si="2"/>
        <v>-1000</v>
      </c>
      <c r="E52" s="38"/>
      <c r="F52" s="12">
        <v>0</v>
      </c>
      <c r="G52" s="12">
        <f t="shared" si="4"/>
        <v>0</v>
      </c>
    </row>
    <row r="53" spans="1:7" ht="12.75" customHeight="1" x14ac:dyDescent="0.15">
      <c r="A53" s="15" t="s">
        <v>38</v>
      </c>
      <c r="B53" s="12">
        <v>0</v>
      </c>
      <c r="C53" s="12">
        <f>200</f>
        <v>200</v>
      </c>
      <c r="D53" s="12">
        <f t="shared" si="2"/>
        <v>-200</v>
      </c>
      <c r="E53" s="38"/>
      <c r="F53" s="12">
        <v>0</v>
      </c>
      <c r="G53" s="12">
        <f t="shared" si="4"/>
        <v>0</v>
      </c>
    </row>
    <row r="54" spans="1:7" ht="12.75" customHeight="1" x14ac:dyDescent="0.15">
      <c r="A54" s="15" t="s">
        <v>39</v>
      </c>
      <c r="B54" s="12">
        <f>16000</f>
        <v>16000</v>
      </c>
      <c r="C54" s="12">
        <f>19000</f>
        <v>19000</v>
      </c>
      <c r="D54" s="12">
        <f t="shared" si="2"/>
        <v>-3000</v>
      </c>
      <c r="E54" s="38"/>
      <c r="F54" s="12">
        <v>21500</v>
      </c>
      <c r="G54" s="12">
        <f t="shared" si="4"/>
        <v>-5500</v>
      </c>
    </row>
    <row r="55" spans="1:7" ht="12.75" customHeight="1" x14ac:dyDescent="0.15">
      <c r="A55" s="15" t="s">
        <v>40</v>
      </c>
      <c r="B55" s="12">
        <f>6000</f>
        <v>6000</v>
      </c>
      <c r="C55" s="12">
        <f>6000</f>
        <v>6000</v>
      </c>
      <c r="D55" s="12">
        <f t="shared" si="2"/>
        <v>0</v>
      </c>
      <c r="E55" s="38"/>
      <c r="F55" s="12">
        <v>0</v>
      </c>
      <c r="G55" s="23">
        <f t="shared" si="4"/>
        <v>6000</v>
      </c>
    </row>
    <row r="56" spans="1:7" ht="12.75" customHeight="1" x14ac:dyDescent="0.15">
      <c r="A56" s="9" t="s">
        <v>41</v>
      </c>
      <c r="B56" s="13">
        <f>(((((B50)+(B51))+(B52))+(B53))+(B54))+(B55)</f>
        <v>24500</v>
      </c>
      <c r="C56" s="13">
        <f>(((((C50)+(C51))+(C52))+(C53))+(C54))+(C55)</f>
        <v>29000</v>
      </c>
      <c r="D56" s="13">
        <f t="shared" si="2"/>
        <v>-4500</v>
      </c>
      <c r="E56" s="39"/>
      <c r="F56" s="13">
        <f>(((((F50)+(F51))+(F52))+(F53))+(F54))+(F55)</f>
        <v>21500</v>
      </c>
      <c r="G56" s="24">
        <f t="shared" si="4"/>
        <v>3000</v>
      </c>
    </row>
    <row r="57" spans="1:7" ht="12.75" customHeight="1" x14ac:dyDescent="0.15">
      <c r="A57" s="9"/>
      <c r="B57" s="16"/>
      <c r="C57" s="16"/>
      <c r="D57" s="16"/>
      <c r="E57" s="40"/>
      <c r="F57" s="16"/>
      <c r="G57" s="12"/>
    </row>
    <row r="58" spans="1:7" ht="12.75" customHeight="1" x14ac:dyDescent="0.15">
      <c r="A58" s="9" t="s">
        <v>42</v>
      </c>
      <c r="B58" s="12"/>
      <c r="C58" s="12"/>
      <c r="D58" s="12"/>
      <c r="E58" s="38"/>
      <c r="F58" s="12"/>
      <c r="G58" s="12"/>
    </row>
    <row r="59" spans="1:7" ht="12.75" customHeight="1" x14ac:dyDescent="0.15">
      <c r="A59" s="15" t="s">
        <v>8</v>
      </c>
      <c r="B59" s="12"/>
      <c r="C59" s="12"/>
      <c r="D59" s="12"/>
      <c r="E59" s="38"/>
      <c r="F59" s="12"/>
      <c r="G59" s="12"/>
    </row>
    <row r="60" spans="1:7" ht="12.75" customHeight="1" x14ac:dyDescent="0.15">
      <c r="A60" s="15" t="s">
        <v>43</v>
      </c>
      <c r="B60" s="12">
        <f>876.4</f>
        <v>876.4</v>
      </c>
      <c r="C60" s="12">
        <f>2500</f>
        <v>2500</v>
      </c>
      <c r="D60" s="12">
        <f t="shared" si="2"/>
        <v>-1623.6</v>
      </c>
      <c r="E60" s="38"/>
      <c r="F60" s="12">
        <v>0</v>
      </c>
      <c r="G60" s="12">
        <f t="shared" ref="G60:G67" si="5">(B60)-(F60)</f>
        <v>876.4</v>
      </c>
    </row>
    <row r="61" spans="1:7" ht="12.75" customHeight="1" x14ac:dyDescent="0.15">
      <c r="A61" s="15" t="s">
        <v>44</v>
      </c>
      <c r="B61" s="12">
        <f>4803.88</f>
        <v>4803.88</v>
      </c>
      <c r="C61" s="12">
        <f>5000</f>
        <v>5000</v>
      </c>
      <c r="D61" s="12">
        <f t="shared" si="2"/>
        <v>-196.11999999999989</v>
      </c>
      <c r="E61" s="38"/>
      <c r="F61" s="12">
        <v>4000</v>
      </c>
      <c r="G61" s="12">
        <f t="shared" si="5"/>
        <v>803.88000000000011</v>
      </c>
    </row>
    <row r="62" spans="1:7" ht="12.75" customHeight="1" x14ac:dyDescent="0.15">
      <c r="A62" s="15" t="s">
        <v>45</v>
      </c>
      <c r="B62" s="12">
        <f>1500</f>
        <v>1500</v>
      </c>
      <c r="C62" s="12">
        <f>1500</f>
        <v>1500</v>
      </c>
      <c r="D62" s="12">
        <f t="shared" si="2"/>
        <v>0</v>
      </c>
      <c r="E62" s="38"/>
      <c r="F62" s="12">
        <v>1283</v>
      </c>
      <c r="G62" s="12">
        <f t="shared" si="5"/>
        <v>217</v>
      </c>
    </row>
    <row r="63" spans="1:7" ht="12.75" customHeight="1" x14ac:dyDescent="0.15">
      <c r="A63" s="15" t="s">
        <v>46</v>
      </c>
      <c r="B63" s="12">
        <f>174.19</f>
        <v>174.19</v>
      </c>
      <c r="C63" s="12">
        <f>300</f>
        <v>300</v>
      </c>
      <c r="D63" s="12">
        <f t="shared" si="2"/>
        <v>-125.81</v>
      </c>
      <c r="E63" s="38"/>
      <c r="F63" s="12">
        <v>165</v>
      </c>
      <c r="G63" s="12">
        <f t="shared" si="5"/>
        <v>9.1899999999999977</v>
      </c>
    </row>
    <row r="64" spans="1:7" ht="12.75" customHeight="1" x14ac:dyDescent="0.15">
      <c r="A64" s="15" t="s">
        <v>47</v>
      </c>
      <c r="B64" s="12">
        <f>662.89</f>
        <v>662.89</v>
      </c>
      <c r="C64" s="12">
        <f>1300</f>
        <v>1300</v>
      </c>
      <c r="D64" s="12">
        <f t="shared" si="2"/>
        <v>-637.11</v>
      </c>
      <c r="E64" s="38"/>
      <c r="F64" s="12">
        <v>600</v>
      </c>
      <c r="G64" s="12">
        <f t="shared" si="5"/>
        <v>62.889999999999986</v>
      </c>
    </row>
    <row r="65" spans="1:7" ht="12.75" customHeight="1" x14ac:dyDescent="0.15">
      <c r="A65" s="15" t="s">
        <v>48</v>
      </c>
      <c r="B65" s="12">
        <f>676.24</f>
        <v>676.24</v>
      </c>
      <c r="C65" s="12">
        <f>2500</f>
        <v>2500</v>
      </c>
      <c r="D65" s="12">
        <f t="shared" si="2"/>
        <v>-1823.76</v>
      </c>
      <c r="E65" s="38"/>
      <c r="F65" s="12">
        <v>0</v>
      </c>
      <c r="G65" s="23">
        <f t="shared" si="5"/>
        <v>676.24</v>
      </c>
    </row>
    <row r="66" spans="1:7" ht="12.75" customHeight="1" x14ac:dyDescent="0.15">
      <c r="A66" s="15" t="s">
        <v>11</v>
      </c>
      <c r="B66" s="26">
        <f>((((((B59)+(B60))+(B61))+(B62))+(B63))+(B64))+(B65)</f>
        <v>8693.6</v>
      </c>
      <c r="C66" s="26">
        <f>((((((C59)+(C60))+(C61))+(C62))+(C63))+(C64))+(C65)</f>
        <v>13100</v>
      </c>
      <c r="D66" s="26">
        <f t="shared" si="2"/>
        <v>-4406.3999999999996</v>
      </c>
      <c r="E66" s="41"/>
      <c r="F66" s="26">
        <f>((((((F59)+(F60))+(F61))+(F62))+(F63))+(F64))+(F65)</f>
        <v>6048</v>
      </c>
      <c r="G66" s="25">
        <f t="shared" si="5"/>
        <v>2645.6000000000004</v>
      </c>
    </row>
    <row r="67" spans="1:7" ht="12.75" customHeight="1" x14ac:dyDescent="0.15">
      <c r="A67" s="9" t="s">
        <v>49</v>
      </c>
      <c r="B67" s="13">
        <f>(B58)+(B66)</f>
        <v>8693.6</v>
      </c>
      <c r="C67" s="13">
        <f>(C58)+(C66)</f>
        <v>13100</v>
      </c>
      <c r="D67" s="13">
        <f t="shared" si="2"/>
        <v>-4406.3999999999996</v>
      </c>
      <c r="E67" s="39"/>
      <c r="F67" s="13">
        <f>(F58)+(F66)</f>
        <v>6048</v>
      </c>
      <c r="G67" s="24">
        <f t="shared" si="5"/>
        <v>2645.6000000000004</v>
      </c>
    </row>
    <row r="68" spans="1:7" ht="12.75" customHeight="1" x14ac:dyDescent="0.15">
      <c r="A68" s="9"/>
      <c r="B68" s="16"/>
      <c r="C68" s="16"/>
      <c r="D68" s="16"/>
      <c r="E68" s="40"/>
      <c r="F68" s="16"/>
      <c r="G68" s="12"/>
    </row>
    <row r="69" spans="1:7" ht="12.75" customHeight="1" x14ac:dyDescent="0.15">
      <c r="A69" s="9" t="s">
        <v>50</v>
      </c>
      <c r="B69" s="12"/>
      <c r="C69" s="12"/>
      <c r="D69" s="12"/>
      <c r="E69" s="38"/>
      <c r="F69" s="12"/>
      <c r="G69" s="12"/>
    </row>
    <row r="70" spans="1:7" ht="12.75" customHeight="1" x14ac:dyDescent="0.15">
      <c r="A70" s="15" t="s">
        <v>14</v>
      </c>
      <c r="B70" s="12"/>
      <c r="C70" s="12"/>
      <c r="D70" s="12"/>
      <c r="E70" s="38"/>
      <c r="F70" s="12"/>
      <c r="G70" s="12"/>
    </row>
    <row r="71" spans="1:7" ht="12.75" customHeight="1" x14ac:dyDescent="0.15">
      <c r="A71" s="15" t="s">
        <v>51</v>
      </c>
      <c r="B71" s="12">
        <f>19351.32</f>
        <v>19351.32</v>
      </c>
      <c r="C71" s="12">
        <f>20000</f>
        <v>20000</v>
      </c>
      <c r="D71" s="12">
        <f t="shared" si="2"/>
        <v>-648.68000000000029</v>
      </c>
      <c r="E71" s="38"/>
      <c r="F71" s="12">
        <v>19436</v>
      </c>
      <c r="G71" s="12">
        <f t="shared" ref="G71:G76" si="6">(B71)-(F71)</f>
        <v>-84.680000000000291</v>
      </c>
    </row>
    <row r="72" spans="1:7" ht="12.75" customHeight="1" x14ac:dyDescent="0.15">
      <c r="A72" s="15" t="s">
        <v>52</v>
      </c>
      <c r="B72" s="12">
        <f>10125.2</f>
        <v>10125.200000000001</v>
      </c>
      <c r="C72" s="12">
        <f>8200</f>
        <v>8200</v>
      </c>
      <c r="D72" s="12">
        <f t="shared" si="2"/>
        <v>1925.2000000000007</v>
      </c>
      <c r="E72" s="38"/>
      <c r="F72" s="12">
        <v>8625</v>
      </c>
      <c r="G72" s="12">
        <f t="shared" si="6"/>
        <v>1500.2000000000007</v>
      </c>
    </row>
    <row r="73" spans="1:7" ht="12.75" customHeight="1" x14ac:dyDescent="0.15">
      <c r="A73" s="15" t="s">
        <v>53</v>
      </c>
      <c r="B73" s="12">
        <f>1460.18</f>
        <v>1460.18</v>
      </c>
      <c r="C73" s="12">
        <f>1600</f>
        <v>1600</v>
      </c>
      <c r="D73" s="12">
        <f t="shared" si="2"/>
        <v>-139.81999999999994</v>
      </c>
      <c r="E73" s="38"/>
      <c r="F73" s="12">
        <v>2138</v>
      </c>
      <c r="G73" s="12">
        <f t="shared" si="6"/>
        <v>-677.81999999999994</v>
      </c>
    </row>
    <row r="74" spans="1:7" ht="12.75" customHeight="1" x14ac:dyDescent="0.15">
      <c r="A74" s="15" t="s">
        <v>54</v>
      </c>
      <c r="B74" s="12">
        <f>150</f>
        <v>150</v>
      </c>
      <c r="C74" s="12">
        <v>0</v>
      </c>
      <c r="D74" s="12">
        <f t="shared" si="2"/>
        <v>150</v>
      </c>
      <c r="E74" s="38"/>
      <c r="F74" s="12">
        <v>250</v>
      </c>
      <c r="G74" s="23">
        <f t="shared" si="6"/>
        <v>-100</v>
      </c>
    </row>
    <row r="75" spans="1:7" ht="12.75" customHeight="1" x14ac:dyDescent="0.15">
      <c r="A75" s="15" t="s">
        <v>17</v>
      </c>
      <c r="B75" s="26">
        <f>((((B70)+(B71))+(B72))+(B73))+(B74)</f>
        <v>31086.7</v>
      </c>
      <c r="C75" s="26">
        <f>((((C70)+(C71))+(C72))+(C73))+(C74)</f>
        <v>29800</v>
      </c>
      <c r="D75" s="26">
        <f t="shared" si="2"/>
        <v>1286.7000000000007</v>
      </c>
      <c r="E75" s="41"/>
      <c r="F75" s="26">
        <f>((((F70)+(F71))+(F72))+(F73))+(F74)</f>
        <v>30449</v>
      </c>
      <c r="G75" s="25">
        <f t="shared" si="6"/>
        <v>637.70000000000073</v>
      </c>
    </row>
    <row r="76" spans="1:7" ht="12.75" customHeight="1" x14ac:dyDescent="0.15">
      <c r="A76" s="9" t="s">
        <v>55</v>
      </c>
      <c r="B76" s="13">
        <f>(B69)+(B75)</f>
        <v>31086.7</v>
      </c>
      <c r="C76" s="13">
        <f>(C69)+(C75)</f>
        <v>29800</v>
      </c>
      <c r="D76" s="13">
        <f t="shared" si="2"/>
        <v>1286.7000000000007</v>
      </c>
      <c r="E76" s="39"/>
      <c r="F76" s="13">
        <f>(F69)+(F75)</f>
        <v>30449</v>
      </c>
      <c r="G76" s="24">
        <f t="shared" si="6"/>
        <v>637.70000000000073</v>
      </c>
    </row>
    <row r="77" spans="1:7" ht="12.75" customHeight="1" x14ac:dyDescent="0.15">
      <c r="A77" s="9"/>
      <c r="B77" s="16"/>
      <c r="C77" s="16"/>
      <c r="D77" s="16"/>
      <c r="E77" s="40"/>
      <c r="F77" s="16"/>
      <c r="G77" s="12"/>
    </row>
    <row r="78" spans="1:7" ht="12.75" customHeight="1" x14ac:dyDescent="0.15">
      <c r="A78" s="9" t="s">
        <v>56</v>
      </c>
      <c r="B78" s="12"/>
      <c r="C78" s="12"/>
      <c r="D78" s="12"/>
      <c r="E78" s="38"/>
      <c r="F78" s="12"/>
      <c r="G78" s="12"/>
    </row>
    <row r="79" spans="1:7" ht="12.75" customHeight="1" x14ac:dyDescent="0.15">
      <c r="A79" s="15" t="s">
        <v>57</v>
      </c>
      <c r="B79" s="12"/>
      <c r="C79" s="12"/>
      <c r="D79" s="12"/>
      <c r="E79" s="38"/>
      <c r="F79" s="12"/>
      <c r="G79" s="12"/>
    </row>
    <row r="80" spans="1:7" ht="12.75" customHeight="1" x14ac:dyDescent="0.15">
      <c r="A80" s="15" t="s">
        <v>58</v>
      </c>
      <c r="B80" s="12">
        <f>1763.46</f>
        <v>1763.46</v>
      </c>
      <c r="C80" s="12">
        <f>2200</f>
        <v>2200</v>
      </c>
      <c r="D80" s="12">
        <f t="shared" si="2"/>
        <v>-436.53999999999996</v>
      </c>
      <c r="E80" s="38"/>
      <c r="F80" s="12">
        <v>215</v>
      </c>
      <c r="G80" s="12">
        <f t="shared" ref="G80:G85" si="7">(B80)-(F80)</f>
        <v>1548.46</v>
      </c>
    </row>
    <row r="81" spans="1:7" ht="12.75" customHeight="1" x14ac:dyDescent="0.15">
      <c r="A81" s="15" t="s">
        <v>45</v>
      </c>
      <c r="B81" s="12">
        <f>800</f>
        <v>800</v>
      </c>
      <c r="C81" s="12">
        <f>1000</f>
        <v>1000</v>
      </c>
      <c r="D81" s="12">
        <f t="shared" si="2"/>
        <v>-200</v>
      </c>
      <c r="E81" s="38"/>
      <c r="F81" s="12">
        <v>0</v>
      </c>
      <c r="G81" s="12">
        <f t="shared" si="7"/>
        <v>800</v>
      </c>
    </row>
    <row r="82" spans="1:7" ht="12.75" customHeight="1" x14ac:dyDescent="0.15">
      <c r="A82" s="15" t="s">
        <v>46</v>
      </c>
      <c r="B82" s="12">
        <v>0</v>
      </c>
      <c r="C82" s="12">
        <f>400</f>
        <v>400</v>
      </c>
      <c r="D82" s="12">
        <f t="shared" si="2"/>
        <v>-400</v>
      </c>
      <c r="E82" s="38"/>
      <c r="F82" s="12">
        <v>0</v>
      </c>
      <c r="G82" s="12">
        <f t="shared" si="7"/>
        <v>0</v>
      </c>
    </row>
    <row r="83" spans="1:7" ht="12.75" customHeight="1" x14ac:dyDescent="0.15">
      <c r="A83" s="15" t="s">
        <v>54</v>
      </c>
      <c r="B83" s="12">
        <f>84.63</f>
        <v>84.63</v>
      </c>
      <c r="C83" s="12">
        <f>200</f>
        <v>200</v>
      </c>
      <c r="D83" s="12">
        <f t="shared" si="2"/>
        <v>-115.37</v>
      </c>
      <c r="E83" s="38"/>
      <c r="F83" s="12">
        <v>0</v>
      </c>
      <c r="G83" s="12">
        <f t="shared" si="7"/>
        <v>84.63</v>
      </c>
    </row>
    <row r="84" spans="1:7" ht="12.75" customHeight="1" x14ac:dyDescent="0.15">
      <c r="A84" s="15" t="s">
        <v>48</v>
      </c>
      <c r="B84" s="12">
        <v>0</v>
      </c>
      <c r="C84" s="12">
        <f>2500</f>
        <v>2500</v>
      </c>
      <c r="D84" s="12">
        <f t="shared" si="2"/>
        <v>-2500</v>
      </c>
      <c r="E84" s="38"/>
      <c r="F84" s="12">
        <v>0</v>
      </c>
      <c r="G84" s="23">
        <f t="shared" si="7"/>
        <v>0</v>
      </c>
    </row>
    <row r="85" spans="1:7" ht="12.75" customHeight="1" x14ac:dyDescent="0.15">
      <c r="A85" s="9" t="s">
        <v>59</v>
      </c>
      <c r="B85" s="13">
        <f>(((((B79)+(B80))+(B81))+(B82))+(B83))+(B84)</f>
        <v>2648.09</v>
      </c>
      <c r="C85" s="13">
        <f>(((((C79)+(C80))+(C81))+(C82))+(C83))+(C84)</f>
        <v>6300</v>
      </c>
      <c r="D85" s="13">
        <f t="shared" si="2"/>
        <v>-3651.91</v>
      </c>
      <c r="E85" s="39"/>
      <c r="F85" s="13">
        <f>(((((F79)+(F80))+(F81))+(F82))+(F83))+(F84)</f>
        <v>215</v>
      </c>
      <c r="G85" s="24">
        <f t="shared" si="7"/>
        <v>2433.09</v>
      </c>
    </row>
    <row r="86" spans="1:7" ht="12.75" customHeight="1" x14ac:dyDescent="0.15">
      <c r="A86" s="15" t="s">
        <v>60</v>
      </c>
      <c r="B86" s="12"/>
      <c r="C86" s="12"/>
      <c r="D86" s="12"/>
      <c r="E86" s="38"/>
      <c r="F86" s="12"/>
      <c r="G86" s="12"/>
    </row>
    <row r="87" spans="1:7" ht="12.75" customHeight="1" x14ac:dyDescent="0.15">
      <c r="A87" s="15" t="s">
        <v>61</v>
      </c>
      <c r="B87" s="12">
        <f>3558.07</f>
        <v>3558.07</v>
      </c>
      <c r="C87" s="12">
        <f>3500</f>
        <v>3500</v>
      </c>
      <c r="D87" s="12">
        <f t="shared" si="2"/>
        <v>58.070000000000164</v>
      </c>
      <c r="E87" s="38"/>
      <c r="F87" s="12">
        <v>13149</v>
      </c>
      <c r="G87" s="12">
        <f>(B87)-(F87)</f>
        <v>-9590.93</v>
      </c>
    </row>
    <row r="88" spans="1:7" ht="12.75" customHeight="1" x14ac:dyDescent="0.15">
      <c r="A88" s="15" t="s">
        <v>62</v>
      </c>
      <c r="B88" s="12">
        <v>0</v>
      </c>
      <c r="C88" s="12">
        <f>750</f>
        <v>750</v>
      </c>
      <c r="D88" s="12">
        <f t="shared" si="2"/>
        <v>-750</v>
      </c>
      <c r="E88" s="38"/>
      <c r="F88" s="12">
        <v>0</v>
      </c>
      <c r="G88" s="12">
        <f>(B88)-(F88)</f>
        <v>0</v>
      </c>
    </row>
    <row r="89" spans="1:7" ht="12.75" customHeight="1" x14ac:dyDescent="0.15">
      <c r="A89" s="15" t="s">
        <v>63</v>
      </c>
      <c r="B89" s="12">
        <v>0</v>
      </c>
      <c r="C89" s="12">
        <f>500</f>
        <v>500</v>
      </c>
      <c r="D89" s="12">
        <f t="shared" si="2"/>
        <v>-500</v>
      </c>
      <c r="E89" s="38"/>
      <c r="F89" s="12">
        <v>445</v>
      </c>
      <c r="G89" s="12">
        <f>(B89)-(F89)</f>
        <v>-445</v>
      </c>
    </row>
    <row r="90" spans="1:7" ht="12.75" customHeight="1" x14ac:dyDescent="0.15">
      <c r="A90" s="15" t="s">
        <v>48</v>
      </c>
      <c r="B90" s="12">
        <f>1321.77</f>
        <v>1321.77</v>
      </c>
      <c r="C90" s="12">
        <f>2000</f>
        <v>2000</v>
      </c>
      <c r="D90" s="12">
        <f t="shared" si="2"/>
        <v>-678.23</v>
      </c>
      <c r="E90" s="38"/>
      <c r="F90" s="12">
        <v>539</v>
      </c>
      <c r="G90" s="23">
        <f>(B90)-(F90)</f>
        <v>782.77</v>
      </c>
    </row>
    <row r="91" spans="1:7" ht="12.75" customHeight="1" x14ac:dyDescent="0.15">
      <c r="A91" s="9" t="s">
        <v>64</v>
      </c>
      <c r="B91" s="13">
        <f>((((B86)+(B87))+(B88))+(B89))+(B90)</f>
        <v>4879.84</v>
      </c>
      <c r="C91" s="13">
        <f>((((C86)+(C87))+(C88))+(C89))+(C90)</f>
        <v>6750</v>
      </c>
      <c r="D91" s="13">
        <f t="shared" si="2"/>
        <v>-1870.1599999999999</v>
      </c>
      <c r="E91" s="39"/>
      <c r="F91" s="13">
        <f>((((F86)+(F87))+(F88))+(F89))+(F90)</f>
        <v>14133</v>
      </c>
      <c r="G91" s="24">
        <f>(B91)-(F91)</f>
        <v>-9253.16</v>
      </c>
    </row>
    <row r="92" spans="1:7" ht="12.75" customHeight="1" x14ac:dyDescent="0.15">
      <c r="A92" s="15" t="s">
        <v>65</v>
      </c>
      <c r="B92" s="12"/>
      <c r="C92" s="12"/>
      <c r="D92" s="12"/>
      <c r="E92" s="38"/>
      <c r="F92" s="12"/>
      <c r="G92" s="12"/>
    </row>
    <row r="93" spans="1:7" ht="12.75" customHeight="1" x14ac:dyDescent="0.15">
      <c r="A93" s="15" t="s">
        <v>66</v>
      </c>
      <c r="B93" s="12">
        <f>246.77</f>
        <v>246.77</v>
      </c>
      <c r="C93" s="12">
        <f>500</f>
        <v>500</v>
      </c>
      <c r="D93" s="12">
        <f t="shared" si="2"/>
        <v>-253.23</v>
      </c>
      <c r="E93" s="38"/>
      <c r="F93" s="12">
        <v>1545</v>
      </c>
      <c r="G93" s="12">
        <f>(B93)-(F93)</f>
        <v>-1298.23</v>
      </c>
    </row>
    <row r="94" spans="1:7" ht="12.75" customHeight="1" x14ac:dyDescent="0.15">
      <c r="A94" s="15" t="s">
        <v>54</v>
      </c>
      <c r="B94" s="12">
        <f>68.35</f>
        <v>68.349999999999994</v>
      </c>
      <c r="C94" s="12">
        <f>500</f>
        <v>500</v>
      </c>
      <c r="D94" s="12">
        <f t="shared" si="2"/>
        <v>-431.65</v>
      </c>
      <c r="E94" s="38"/>
      <c r="F94" s="12">
        <v>0</v>
      </c>
      <c r="G94" s="23">
        <f>(B94)-(F94)</f>
        <v>68.349999999999994</v>
      </c>
    </row>
    <row r="95" spans="1:7" ht="12.75" customHeight="1" x14ac:dyDescent="0.15">
      <c r="A95" s="9" t="s">
        <v>67</v>
      </c>
      <c r="B95" s="13">
        <f>((B92)+(B93))+(B94)</f>
        <v>315.12</v>
      </c>
      <c r="C95" s="13">
        <f>((C92)+(C93))+(C94)</f>
        <v>1000</v>
      </c>
      <c r="D95" s="13">
        <f t="shared" si="2"/>
        <v>-684.88</v>
      </c>
      <c r="E95" s="39"/>
      <c r="F95" s="13">
        <f>((F92)+(F93))+(F94)</f>
        <v>1545</v>
      </c>
      <c r="G95" s="24">
        <f>(B95)-(F95)</f>
        <v>-1229.8800000000001</v>
      </c>
    </row>
    <row r="96" spans="1:7" ht="12.75" customHeight="1" x14ac:dyDescent="0.15">
      <c r="A96" s="15" t="s">
        <v>68</v>
      </c>
      <c r="B96" s="12"/>
      <c r="C96" s="12"/>
      <c r="D96" s="12"/>
      <c r="E96" s="38"/>
      <c r="F96" s="12"/>
      <c r="G96" s="12"/>
    </row>
    <row r="97" spans="1:7" ht="12.75" customHeight="1" x14ac:dyDescent="0.15">
      <c r="A97" s="15" t="s">
        <v>69</v>
      </c>
      <c r="B97" s="12">
        <f>303.7</f>
        <v>303.7</v>
      </c>
      <c r="C97" s="12">
        <f>1800</f>
        <v>1800</v>
      </c>
      <c r="D97" s="12">
        <f t="shared" si="2"/>
        <v>-1496.3</v>
      </c>
      <c r="E97" s="38"/>
      <c r="F97" s="12">
        <v>836</v>
      </c>
      <c r="G97" s="12">
        <f t="shared" ref="G97:G102" si="8">(B97)-(F97)</f>
        <v>-532.29999999999995</v>
      </c>
    </row>
    <row r="98" spans="1:7" ht="12.75" customHeight="1" x14ac:dyDescent="0.15">
      <c r="A98" s="15" t="s">
        <v>58</v>
      </c>
      <c r="B98" s="12">
        <f>16038.82</f>
        <v>16038.82</v>
      </c>
      <c r="C98" s="12">
        <f>14000</f>
        <v>14000</v>
      </c>
      <c r="D98" s="12">
        <f t="shared" si="2"/>
        <v>2038.8199999999997</v>
      </c>
      <c r="E98" s="38"/>
      <c r="F98" s="12">
        <v>11672</v>
      </c>
      <c r="G98" s="12">
        <f t="shared" si="8"/>
        <v>4366.82</v>
      </c>
    </row>
    <row r="99" spans="1:7" ht="12.75" customHeight="1" x14ac:dyDescent="0.15">
      <c r="A99" s="15" t="s">
        <v>45</v>
      </c>
      <c r="B99" s="12">
        <f>2925</f>
        <v>2925</v>
      </c>
      <c r="C99" s="12"/>
      <c r="D99" s="12">
        <f t="shared" si="2"/>
        <v>2925</v>
      </c>
      <c r="E99" s="38"/>
      <c r="F99" s="12">
        <v>428</v>
      </c>
      <c r="G99" s="12">
        <f t="shared" si="8"/>
        <v>2497</v>
      </c>
    </row>
    <row r="100" spans="1:7" ht="12.75" customHeight="1" x14ac:dyDescent="0.15">
      <c r="A100" s="15" t="s">
        <v>70</v>
      </c>
      <c r="B100" s="12">
        <f>5698.66</f>
        <v>5698.66</v>
      </c>
      <c r="C100" s="12">
        <f>5000</f>
        <v>5000</v>
      </c>
      <c r="D100" s="12">
        <f t="shared" si="2"/>
        <v>698.65999999999985</v>
      </c>
      <c r="E100" s="38"/>
      <c r="F100" s="12">
        <v>5762</v>
      </c>
      <c r="G100" s="12">
        <f t="shared" si="8"/>
        <v>-63.340000000000146</v>
      </c>
    </row>
    <row r="101" spans="1:7" ht="12.75" customHeight="1" x14ac:dyDescent="0.15">
      <c r="A101" s="15" t="s">
        <v>71</v>
      </c>
      <c r="B101" s="12">
        <v>0</v>
      </c>
      <c r="C101" s="12">
        <f>800</f>
        <v>800</v>
      </c>
      <c r="D101" s="12">
        <f t="shared" si="2"/>
        <v>-800</v>
      </c>
      <c r="E101" s="38"/>
      <c r="F101" s="12">
        <v>0</v>
      </c>
      <c r="G101" s="23">
        <f t="shared" si="8"/>
        <v>0</v>
      </c>
    </row>
    <row r="102" spans="1:7" ht="12.75" customHeight="1" x14ac:dyDescent="0.15">
      <c r="A102" s="9" t="s">
        <v>72</v>
      </c>
      <c r="B102" s="13">
        <f>(((((B96)+(B97))+(B98))+(B99))+(B100))+(B101)</f>
        <v>24966.18</v>
      </c>
      <c r="C102" s="13">
        <f>(((((C96)+(C97))+(C98))+(C99))+(C100))+(C101)</f>
        <v>21600</v>
      </c>
      <c r="D102" s="13">
        <f>(B102)-(C102)</f>
        <v>3366.1800000000003</v>
      </c>
      <c r="E102" s="39"/>
      <c r="F102" s="13">
        <f>(((((F96)+(F97))+(F98))+(F99))+(F100))+(F101)</f>
        <v>18698</v>
      </c>
      <c r="G102" s="24">
        <f t="shared" si="8"/>
        <v>6268.18</v>
      </c>
    </row>
    <row r="103" spans="1:7" s="22" customFormat="1" ht="12.75" customHeight="1" x14ac:dyDescent="0.15">
      <c r="A103" s="21"/>
      <c r="B103" s="16"/>
      <c r="C103" s="16"/>
      <c r="D103" s="16"/>
      <c r="E103" s="40"/>
      <c r="F103" s="16"/>
      <c r="G103" s="12"/>
    </row>
    <row r="104" spans="1:7" ht="12.75" customHeight="1" x14ac:dyDescent="0.15">
      <c r="A104" s="9" t="s">
        <v>73</v>
      </c>
      <c r="B104" s="16">
        <f>((((B78)+(B85))+(B91))+(B95))+(B102)</f>
        <v>32809.230000000003</v>
      </c>
      <c r="C104" s="16">
        <f>((((C78)+(C85))+(C91))+(C95))+(C102)</f>
        <v>35650</v>
      </c>
      <c r="D104" s="16">
        <f>(B104)-(C104)</f>
        <v>-2840.7699999999968</v>
      </c>
      <c r="E104" s="40"/>
      <c r="F104" s="16">
        <f>((((F78)+(F85))+(F91))+(F95))+(F102)</f>
        <v>34591</v>
      </c>
      <c r="G104" s="29">
        <f>(B104)-(F104)</f>
        <v>-1781.7699999999968</v>
      </c>
    </row>
    <row r="105" spans="1:7" ht="12.75" customHeight="1" x14ac:dyDescent="0.15">
      <c r="A105" s="9"/>
      <c r="B105" s="13"/>
      <c r="C105" s="13"/>
      <c r="D105" s="13"/>
      <c r="E105" s="39"/>
      <c r="F105" s="13"/>
      <c r="G105" s="24"/>
    </row>
    <row r="106" spans="1:7" ht="14.25" customHeight="1" x14ac:dyDescent="0.15">
      <c r="A106" s="17" t="s">
        <v>74</v>
      </c>
      <c r="B106" s="19">
        <f>((((B48)+(B56))+(B67))+(B76))+(B104)</f>
        <v>111135.14000000001</v>
      </c>
      <c r="C106" s="19">
        <f>((((C48)+(C56))+(C67))+(C76))+(C104)</f>
        <v>120350</v>
      </c>
      <c r="D106" s="19">
        <f>(B106)-(C106)</f>
        <v>-9214.859999999986</v>
      </c>
      <c r="E106" s="43"/>
      <c r="F106" s="19">
        <f>((((F48)+(F56))+(F67))+(F76))+(F104)</f>
        <v>126292</v>
      </c>
      <c r="G106" s="30">
        <f>(B106)-(F106)</f>
        <v>-15156.859999999986</v>
      </c>
    </row>
    <row r="107" spans="1:7" ht="12.75" customHeight="1" x14ac:dyDescent="0.15">
      <c r="A107" s="17"/>
      <c r="B107" s="19"/>
      <c r="C107" s="19"/>
      <c r="D107" s="19"/>
      <c r="E107" s="43"/>
      <c r="F107" s="19"/>
      <c r="G107" s="31"/>
    </row>
    <row r="108" spans="1:7" ht="16.5" customHeight="1" thickBot="1" x14ac:dyDescent="0.2">
      <c r="A108" s="17" t="s">
        <v>75</v>
      </c>
      <c r="B108" s="32">
        <f>(B33)-(B106)</f>
        <v>5896.4799999999814</v>
      </c>
      <c r="C108" s="32">
        <f>(C33)-(C106)</f>
        <v>-4250</v>
      </c>
      <c r="D108" s="32">
        <f>(B108)-(C108)</f>
        <v>10146.479999999981</v>
      </c>
      <c r="E108" s="45"/>
      <c r="F108" s="32">
        <f>(F33)-(F106)</f>
        <v>-10014</v>
      </c>
      <c r="G108" s="33">
        <f>(B108)-(F108)</f>
        <v>15910.479999999981</v>
      </c>
    </row>
    <row r="109" spans="1:7" ht="12.75" customHeight="1" thickTop="1" x14ac:dyDescent="0.15">
      <c r="A109" s="9"/>
      <c r="B109" s="12"/>
      <c r="C109" s="12"/>
      <c r="D109" s="12"/>
      <c r="E109" s="12"/>
      <c r="F109" s="49"/>
      <c r="G109" s="50"/>
    </row>
    <row r="110" spans="1:7" x14ac:dyDescent="0.15">
      <c r="A110" s="4"/>
      <c r="B110" s="51"/>
      <c r="C110" s="51"/>
      <c r="D110" s="51"/>
      <c r="E110" s="51"/>
      <c r="F110" s="50"/>
      <c r="G110" s="50"/>
    </row>
    <row r="111" spans="1:7" ht="16" x14ac:dyDescent="0.2">
      <c r="C111" s="3" t="s">
        <v>108</v>
      </c>
    </row>
    <row r="112" spans="1:7" ht="16" x14ac:dyDescent="0.2">
      <c r="C112" s="3" t="s">
        <v>109</v>
      </c>
    </row>
    <row r="113" spans="1:6" ht="16" x14ac:dyDescent="0.2">
      <c r="C113" s="52" t="s">
        <v>77</v>
      </c>
    </row>
    <row r="115" spans="1:6" ht="12.75" customHeight="1" x14ac:dyDescent="0.15">
      <c r="A115" s="53"/>
      <c r="B115" s="55" t="s">
        <v>110</v>
      </c>
      <c r="C115" s="55" t="s">
        <v>112</v>
      </c>
      <c r="D115" s="8" t="s">
        <v>87</v>
      </c>
      <c r="E115" s="4"/>
    </row>
    <row r="116" spans="1:6" ht="12.75" customHeight="1" x14ac:dyDescent="0.15">
      <c r="A116" s="17" t="s">
        <v>88</v>
      </c>
      <c r="B116" s="10"/>
      <c r="C116" s="10"/>
      <c r="D116" s="10"/>
      <c r="E116" s="4"/>
    </row>
    <row r="117" spans="1:6" ht="12.75" customHeight="1" x14ac:dyDescent="0.15">
      <c r="A117" s="9" t="s">
        <v>89</v>
      </c>
      <c r="B117" s="10"/>
      <c r="C117" s="10"/>
      <c r="D117" s="10"/>
      <c r="E117" s="4"/>
    </row>
    <row r="118" spans="1:6" ht="12.75" customHeight="1" x14ac:dyDescent="0.15">
      <c r="A118" s="15" t="s">
        <v>90</v>
      </c>
      <c r="B118" s="10"/>
      <c r="C118" s="10"/>
      <c r="D118" s="10"/>
      <c r="E118" s="4"/>
    </row>
    <row r="119" spans="1:6" ht="12.75" customHeight="1" x14ac:dyDescent="0.15">
      <c r="A119" s="15" t="s">
        <v>91</v>
      </c>
      <c r="B119" s="12">
        <f>0</f>
        <v>0</v>
      </c>
      <c r="C119" s="12">
        <f>200</f>
        <v>200</v>
      </c>
      <c r="D119" s="12">
        <f>(B119)-(C119)</f>
        <v>-200</v>
      </c>
      <c r="E119" s="54"/>
    </row>
    <row r="120" spans="1:6" ht="12.75" customHeight="1" x14ac:dyDescent="0.15">
      <c r="A120" s="15" t="s">
        <v>92</v>
      </c>
      <c r="B120" s="12">
        <f>12501.38</f>
        <v>12501.38</v>
      </c>
      <c r="C120" s="12">
        <f>31953.52</f>
        <v>31953.52</v>
      </c>
      <c r="D120" s="12">
        <f>(B120)-(C120)</f>
        <v>-19452.14</v>
      </c>
      <c r="E120" s="54"/>
    </row>
    <row r="121" spans="1:6" ht="12.75" customHeight="1" x14ac:dyDescent="0.15">
      <c r="A121" s="15" t="s">
        <v>93</v>
      </c>
      <c r="B121" s="12">
        <f>124815.06</f>
        <v>124815.06</v>
      </c>
      <c r="C121" s="12">
        <f>77691.44</f>
        <v>77691.44</v>
      </c>
      <c r="D121" s="12">
        <f>(B121)-(C121)</f>
        <v>47123.619999999995</v>
      </c>
      <c r="E121" s="54"/>
    </row>
    <row r="122" spans="1:6" ht="12.75" customHeight="1" x14ac:dyDescent="0.15">
      <c r="A122" s="9" t="s">
        <v>94</v>
      </c>
      <c r="B122" s="58">
        <f>((B119)+(B120))+(B121)</f>
        <v>137316.44</v>
      </c>
      <c r="C122" s="58">
        <f>((C119)+(C120))+(C121)</f>
        <v>109844.96</v>
      </c>
      <c r="D122" s="58">
        <f>(B122)-(C122)</f>
        <v>27471.479999999996</v>
      </c>
      <c r="E122" s="54"/>
      <c r="F122" s="5"/>
    </row>
    <row r="123" spans="1:6" ht="12.75" customHeight="1" x14ac:dyDescent="0.15">
      <c r="A123" s="9"/>
      <c r="B123" s="16"/>
      <c r="C123" s="16"/>
      <c r="D123" s="16"/>
      <c r="E123" s="54"/>
    </row>
    <row r="124" spans="1:6" ht="12.75" customHeight="1" x14ac:dyDescent="0.15">
      <c r="A124" s="9" t="s">
        <v>95</v>
      </c>
      <c r="B124" s="12">
        <f>2425</f>
        <v>2425</v>
      </c>
      <c r="C124" s="12">
        <f>0</f>
        <v>0</v>
      </c>
      <c r="D124" s="12">
        <f>(B124)-(C124)</f>
        <v>2425</v>
      </c>
      <c r="E124" s="54"/>
    </row>
    <row r="125" spans="1:6" ht="12.75" customHeight="1" x14ac:dyDescent="0.15">
      <c r="A125" s="9" t="s">
        <v>111</v>
      </c>
      <c r="B125" s="13">
        <f>B124</f>
        <v>2425</v>
      </c>
      <c r="C125" s="13">
        <f>C124</f>
        <v>0</v>
      </c>
      <c r="D125" s="13">
        <f>(B125)-(C125)</f>
        <v>2425</v>
      </c>
      <c r="E125" s="54"/>
    </row>
    <row r="126" spans="1:6" ht="12.75" customHeight="1" x14ac:dyDescent="0.15">
      <c r="A126" s="9"/>
      <c r="B126" s="13"/>
      <c r="C126" s="13"/>
      <c r="D126" s="13"/>
      <c r="E126" s="54"/>
    </row>
    <row r="127" spans="1:6" ht="16.5" customHeight="1" thickBot="1" x14ac:dyDescent="0.2">
      <c r="A127" s="57" t="s">
        <v>96</v>
      </c>
      <c r="B127" s="33">
        <f>(B122)+(B125)</f>
        <v>139741.44</v>
      </c>
      <c r="C127" s="33">
        <f>(C122)+(C125)</f>
        <v>109844.96</v>
      </c>
      <c r="D127" s="33">
        <f>(B127)-(C127)</f>
        <v>29896.479999999996</v>
      </c>
      <c r="E127" s="54"/>
    </row>
    <row r="128" spans="1:6" ht="12.75" customHeight="1" thickTop="1" x14ac:dyDescent="0.15">
      <c r="A128" s="9"/>
      <c r="B128" s="16"/>
      <c r="C128" s="16"/>
      <c r="D128" s="16"/>
      <c r="E128" s="54"/>
    </row>
    <row r="129" spans="1:5" ht="12.75" customHeight="1" x14ac:dyDescent="0.15">
      <c r="A129" s="17" t="s">
        <v>97</v>
      </c>
      <c r="B129" s="14"/>
      <c r="C129" s="14"/>
      <c r="D129" s="14"/>
      <c r="E129" s="54"/>
    </row>
    <row r="130" spans="1:5" ht="12.75" customHeight="1" x14ac:dyDescent="0.15">
      <c r="A130" s="9" t="s">
        <v>98</v>
      </c>
      <c r="B130" s="14"/>
      <c r="C130" s="14"/>
      <c r="D130" s="14"/>
      <c r="E130" s="54"/>
    </row>
    <row r="131" spans="1:5" ht="12.75" customHeight="1" x14ac:dyDescent="0.15">
      <c r="A131" s="15" t="s">
        <v>99</v>
      </c>
      <c r="B131" s="14"/>
      <c r="C131" s="14"/>
      <c r="D131" s="14"/>
      <c r="E131" s="54"/>
    </row>
    <row r="132" spans="1:5" ht="12.75" customHeight="1" x14ac:dyDescent="0.15">
      <c r="A132" s="15" t="s">
        <v>100</v>
      </c>
      <c r="B132" s="12">
        <f>24000</f>
        <v>24000</v>
      </c>
      <c r="C132" s="14">
        <v>0</v>
      </c>
      <c r="D132" s="12">
        <f>(B132)-(C132)</f>
        <v>24000</v>
      </c>
      <c r="E132" s="54"/>
    </row>
    <row r="133" spans="1:5" ht="12.75" customHeight="1" x14ac:dyDescent="0.15">
      <c r="A133" s="9" t="s">
        <v>101</v>
      </c>
      <c r="B133" s="13">
        <f>B132</f>
        <v>24000</v>
      </c>
      <c r="C133" s="13">
        <f>C132</f>
        <v>0</v>
      </c>
      <c r="D133" s="13">
        <f>D132</f>
        <v>24000</v>
      </c>
      <c r="E133" s="54"/>
    </row>
    <row r="134" spans="1:5" ht="12.75" customHeight="1" x14ac:dyDescent="0.15">
      <c r="A134" s="9"/>
      <c r="B134" s="16"/>
      <c r="C134" s="16"/>
      <c r="D134" s="16"/>
      <c r="E134" s="54"/>
    </row>
    <row r="135" spans="1:5" ht="12.75" customHeight="1" x14ac:dyDescent="0.15">
      <c r="A135" s="9" t="s">
        <v>102</v>
      </c>
      <c r="B135" s="14"/>
      <c r="C135" s="14"/>
      <c r="D135" s="14"/>
      <c r="E135" s="54"/>
    </row>
    <row r="136" spans="1:5" ht="12.75" customHeight="1" x14ac:dyDescent="0.15">
      <c r="A136" s="15" t="s">
        <v>103</v>
      </c>
      <c r="B136" s="12">
        <f>86196.68</f>
        <v>86196.68</v>
      </c>
      <c r="C136" s="12">
        <f>86196.68</f>
        <v>86196.68</v>
      </c>
      <c r="D136" s="12">
        <f>(B136)-(C136)</f>
        <v>0</v>
      </c>
      <c r="E136" s="54"/>
    </row>
    <row r="137" spans="1:5" ht="12.75" customHeight="1" x14ac:dyDescent="0.15">
      <c r="A137" s="15" t="s">
        <v>104</v>
      </c>
      <c r="B137" s="12">
        <f>23648.28</f>
        <v>23648.28</v>
      </c>
      <c r="C137" s="12">
        <f>33661.88</f>
        <v>33661.879999999997</v>
      </c>
      <c r="D137" s="12">
        <f>(B137)-(C137)</f>
        <v>-10013.599999999999</v>
      </c>
      <c r="E137" s="54"/>
    </row>
    <row r="138" spans="1:5" ht="12.75" customHeight="1" x14ac:dyDescent="0.15">
      <c r="A138" s="15" t="s">
        <v>105</v>
      </c>
      <c r="B138" s="12">
        <f>5896.48</f>
        <v>5896.48</v>
      </c>
      <c r="C138" s="12">
        <f>-10013.6</f>
        <v>-10013.6</v>
      </c>
      <c r="D138" s="12">
        <f>(B138)-(C138)</f>
        <v>15910.08</v>
      </c>
      <c r="E138" s="54"/>
    </row>
    <row r="139" spans="1:5" ht="12.75" customHeight="1" x14ac:dyDescent="0.15">
      <c r="A139" s="9" t="s">
        <v>106</v>
      </c>
      <c r="B139" s="13">
        <f>((B136)+(B137))+(B138)</f>
        <v>115741.43999999999</v>
      </c>
      <c r="C139" s="13">
        <f>((C136)+(C137))+(C138)</f>
        <v>109844.95999999999</v>
      </c>
      <c r="D139" s="13">
        <f>(B139)-(C139)</f>
        <v>5896.4799999999959</v>
      </c>
      <c r="E139" s="54"/>
    </row>
    <row r="140" spans="1:5" ht="12.75" customHeight="1" x14ac:dyDescent="0.15">
      <c r="A140" s="17"/>
      <c r="B140" s="19"/>
      <c r="C140" s="19"/>
      <c r="D140" s="19"/>
      <c r="E140" s="54"/>
    </row>
    <row r="141" spans="1:5" ht="16.5" customHeight="1" thickBot="1" x14ac:dyDescent="0.2">
      <c r="A141" s="17" t="s">
        <v>107</v>
      </c>
      <c r="B141" s="56">
        <f>(B133)+(B139)</f>
        <v>139741.44</v>
      </c>
      <c r="C141" s="56">
        <f>(C133)+(C139)</f>
        <v>109844.95999999999</v>
      </c>
      <c r="D141" s="56">
        <f>(B141)-(C141)</f>
        <v>29896.48000000001</v>
      </c>
      <c r="E141" s="5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8-15</vt:lpstr>
      <vt:lpstr>Budget!Print_Area</vt:lpstr>
      <vt:lpstr>Budget!Print_Titles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Chipman</dc:creator>
  <cp:lastModifiedBy>Microsoft Office User</cp:lastModifiedBy>
  <cp:lastPrinted>2017-01-09T17:53:23Z</cp:lastPrinted>
  <dcterms:created xsi:type="dcterms:W3CDTF">2015-09-02T14:43:45Z</dcterms:created>
  <dcterms:modified xsi:type="dcterms:W3CDTF">2020-10-07T15:25:43Z</dcterms:modified>
</cp:coreProperties>
</file>